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263B84B3-AAF3-4B5D-A0C5-196267625C3B}" xr6:coauthVersionLast="47" xr6:coauthVersionMax="47" xr10:uidLastSave="{00000000-0000-0000-0000-000000000000}"/>
  <bookViews>
    <workbookView xWindow="-120" yWindow="-16320" windowWidth="29040" windowHeight="15720" xr2:uid="{FD928F78-EFD2-45FC-9AFC-5F4FABC7C342}"/>
  </bookViews>
  <sheets>
    <sheet name="CETR Rate" sheetId="1" r:id="rId1"/>
    <sheet name="Rate Summary" sheetId="3" r:id="rId2"/>
    <sheet name="Domestic Service" sheetId="4" r:id="rId3"/>
    <sheet name="Employee" sheetId="11" r:id="rId4"/>
    <sheet name="General Service" sheetId="12" r:id="rId5"/>
    <sheet name="Street Lights" sheetId="13" r:id="rId6"/>
    <sheet name="Secondary Voltage Power" sheetId="8" r:id="rId7"/>
    <sheet name="Large Power" sheetId="9" r:id="rId8"/>
    <sheet name="Time of Use" sheetId="10" r:id="rId9"/>
    <sheet name="Tariffs" sheetId="5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0" l="1"/>
  <c r="J17" i="1" l="1"/>
  <c r="I17" i="1"/>
  <c r="H17" i="1"/>
  <c r="AF3" i="12" l="1"/>
  <c r="AF3" i="11"/>
  <c r="C3" i="9"/>
  <c r="C3" i="8"/>
  <c r="B3" i="13"/>
  <c r="AF3" i="13" s="1"/>
  <c r="C3" i="12"/>
  <c r="C3" i="11"/>
  <c r="AF3" i="4"/>
  <c r="C3" i="4"/>
  <c r="F3" i="3"/>
  <c r="P19" i="1"/>
  <c r="AD8" i="13" l="1"/>
  <c r="P8" i="13"/>
  <c r="H8" i="13"/>
  <c r="AD7" i="13"/>
  <c r="P7" i="13"/>
  <c r="H7" i="13"/>
  <c r="AD28" i="12"/>
  <c r="P28" i="12"/>
  <c r="H28" i="12"/>
  <c r="AD27" i="12"/>
  <c r="P27" i="12"/>
  <c r="H27" i="12"/>
  <c r="AD26" i="12"/>
  <c r="P26" i="12"/>
  <c r="H26" i="12"/>
  <c r="AD25" i="12"/>
  <c r="P25" i="12"/>
  <c r="H25" i="12"/>
  <c r="AD24" i="12"/>
  <c r="P24" i="12"/>
  <c r="H24" i="12"/>
  <c r="AD23" i="12"/>
  <c r="P23" i="12"/>
  <c r="H23" i="12"/>
  <c r="AD22" i="12"/>
  <c r="P22" i="12"/>
  <c r="H22" i="12"/>
  <c r="AD21" i="12"/>
  <c r="P21" i="12"/>
  <c r="H21" i="12"/>
  <c r="AD20" i="12"/>
  <c r="P20" i="12"/>
  <c r="H20" i="12"/>
  <c r="AD19" i="12"/>
  <c r="P19" i="12"/>
  <c r="H19" i="12"/>
  <c r="AD18" i="12"/>
  <c r="P18" i="12"/>
  <c r="H18" i="12"/>
  <c r="AD17" i="12"/>
  <c r="P17" i="12"/>
  <c r="H17" i="12"/>
  <c r="AD16" i="12"/>
  <c r="P16" i="12"/>
  <c r="H16" i="12"/>
  <c r="AD15" i="12"/>
  <c r="P15" i="12"/>
  <c r="H15" i="12"/>
  <c r="AD14" i="12"/>
  <c r="P14" i="12"/>
  <c r="H14" i="12"/>
  <c r="AD13" i="12"/>
  <c r="P13" i="12"/>
  <c r="H13" i="12"/>
  <c r="AD12" i="12"/>
  <c r="P12" i="12"/>
  <c r="H12" i="12"/>
  <c r="AD11" i="12"/>
  <c r="P11" i="12"/>
  <c r="H11" i="12"/>
  <c r="AD10" i="12"/>
  <c r="P10" i="12"/>
  <c r="H10" i="12"/>
  <c r="AD9" i="12"/>
  <c r="P9" i="12"/>
  <c r="H9" i="12"/>
  <c r="AD8" i="12"/>
  <c r="P8" i="12"/>
  <c r="H8" i="12"/>
  <c r="AD7" i="12"/>
  <c r="P7" i="12"/>
  <c r="H7" i="12"/>
  <c r="AD28" i="11"/>
  <c r="P28" i="11"/>
  <c r="H28" i="11"/>
  <c r="AD27" i="11"/>
  <c r="P27" i="11"/>
  <c r="H27" i="11"/>
  <c r="AD26" i="11"/>
  <c r="P26" i="11"/>
  <c r="H26" i="11"/>
  <c r="AD25" i="11"/>
  <c r="P25" i="11"/>
  <c r="H25" i="11"/>
  <c r="AD24" i="11"/>
  <c r="P24" i="11"/>
  <c r="H24" i="11"/>
  <c r="AD23" i="11"/>
  <c r="P23" i="11"/>
  <c r="H23" i="11"/>
  <c r="AD22" i="11"/>
  <c r="P22" i="11"/>
  <c r="H22" i="11"/>
  <c r="AD21" i="11"/>
  <c r="P21" i="11"/>
  <c r="H21" i="11"/>
  <c r="AD20" i="11"/>
  <c r="P20" i="11"/>
  <c r="H20" i="11"/>
  <c r="AD19" i="11"/>
  <c r="P19" i="11"/>
  <c r="H19" i="11"/>
  <c r="AD18" i="11"/>
  <c r="P18" i="11"/>
  <c r="H18" i="11"/>
  <c r="AD17" i="11"/>
  <c r="P17" i="11"/>
  <c r="H17" i="11"/>
  <c r="AD16" i="11"/>
  <c r="P16" i="11"/>
  <c r="H16" i="11"/>
  <c r="AD15" i="11"/>
  <c r="P15" i="11"/>
  <c r="H15" i="11"/>
  <c r="AD14" i="11"/>
  <c r="P14" i="11"/>
  <c r="H14" i="11"/>
  <c r="AD13" i="11"/>
  <c r="P13" i="11"/>
  <c r="H13" i="11"/>
  <c r="AD12" i="11"/>
  <c r="P12" i="11"/>
  <c r="H12" i="11"/>
  <c r="AD11" i="11"/>
  <c r="P11" i="11"/>
  <c r="H11" i="11"/>
  <c r="AD10" i="11"/>
  <c r="P10" i="11"/>
  <c r="H10" i="11"/>
  <c r="AD9" i="11"/>
  <c r="P9" i="11"/>
  <c r="H9" i="11"/>
  <c r="AD8" i="11"/>
  <c r="P8" i="11"/>
  <c r="H8" i="11"/>
  <c r="AD7" i="11"/>
  <c r="P7" i="11"/>
  <c r="H7" i="11"/>
  <c r="E50" i="5" l="1"/>
  <c r="E57" i="5"/>
  <c r="E44" i="5"/>
  <c r="E43" i="5"/>
  <c r="E46" i="5"/>
  <c r="E41" i="5"/>
  <c r="G37" i="5"/>
  <c r="F37" i="5"/>
  <c r="E37" i="5"/>
  <c r="G36" i="5"/>
  <c r="F36" i="5"/>
  <c r="E36" i="5"/>
  <c r="H30" i="5"/>
  <c r="H31" i="5"/>
  <c r="H32" i="5"/>
  <c r="H29" i="5"/>
  <c r="G30" i="5"/>
  <c r="G31" i="5"/>
  <c r="G29" i="5"/>
  <c r="H20" i="5"/>
  <c r="H21" i="5"/>
  <c r="H22" i="5"/>
  <c r="H19" i="5"/>
  <c r="H10" i="5"/>
  <c r="H11" i="5"/>
  <c r="H12" i="5"/>
  <c r="H9" i="5"/>
  <c r="G10" i="5"/>
  <c r="G11" i="5"/>
  <c r="M27" i="4" s="1"/>
  <c r="G9" i="5"/>
  <c r="J18" i="5"/>
  <c r="J28" i="5" s="1"/>
  <c r="I36" i="5" s="1"/>
  <c r="G57" i="5" s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M10" i="4"/>
  <c r="P7" i="4"/>
  <c r="E8" i="4"/>
  <c r="H7" i="4"/>
  <c r="E7" i="4"/>
  <c r="AD28" i="4"/>
  <c r="AD27" i="4"/>
  <c r="AD26" i="4"/>
  <c r="AD25" i="4"/>
  <c r="AD24" i="4"/>
  <c r="AD23" i="4"/>
  <c r="AD22" i="4"/>
  <c r="AD21" i="4"/>
  <c r="AD20" i="4"/>
  <c r="AD19" i="4"/>
  <c r="AD18" i="4"/>
  <c r="AD17" i="4"/>
  <c r="AD16" i="4"/>
  <c r="AD15" i="4"/>
  <c r="AD14" i="4"/>
  <c r="AD13" i="4"/>
  <c r="AD12" i="4"/>
  <c r="AD11" i="4"/>
  <c r="AD10" i="4"/>
  <c r="AD9" i="4"/>
  <c r="AD8" i="4"/>
  <c r="AD7" i="4"/>
  <c r="E8" i="13" l="1"/>
  <c r="E7" i="13"/>
  <c r="F11" i="4"/>
  <c r="E7" i="12"/>
  <c r="M7" i="12" s="1"/>
  <c r="E8" i="12"/>
  <c r="M8" i="12" s="1"/>
  <c r="E9" i="12"/>
  <c r="M9" i="12" s="1"/>
  <c r="E10" i="12"/>
  <c r="M10" i="12" s="1"/>
  <c r="G32" i="5"/>
  <c r="E22" i="12"/>
  <c r="M22" i="12" s="1"/>
  <c r="E19" i="12"/>
  <c r="M19" i="12" s="1"/>
  <c r="E23" i="12"/>
  <c r="E27" i="12"/>
  <c r="M27" i="12" s="1"/>
  <c r="E24" i="12"/>
  <c r="M24" i="12" s="1"/>
  <c r="E25" i="12"/>
  <c r="M25" i="12" s="1"/>
  <c r="E18" i="12"/>
  <c r="M18" i="12" s="1"/>
  <c r="E26" i="12"/>
  <c r="M26" i="12" s="1"/>
  <c r="E21" i="12"/>
  <c r="M21" i="12" s="1"/>
  <c r="E20" i="12"/>
  <c r="M20" i="12" s="1"/>
  <c r="E28" i="12"/>
  <c r="M28" i="12" s="1"/>
  <c r="E14" i="12"/>
  <c r="M14" i="12" s="1"/>
  <c r="E15" i="12"/>
  <c r="E16" i="12"/>
  <c r="M16" i="12" s="1"/>
  <c r="E11" i="12"/>
  <c r="M11" i="12" s="1"/>
  <c r="E17" i="12"/>
  <c r="M17" i="12" s="1"/>
  <c r="E12" i="12"/>
  <c r="M12" i="12" s="1"/>
  <c r="E13" i="12"/>
  <c r="M13" i="12" s="1"/>
  <c r="F12" i="12"/>
  <c r="F20" i="12"/>
  <c r="F28" i="12"/>
  <c r="F17" i="12"/>
  <c r="F13" i="12"/>
  <c r="F21" i="12"/>
  <c r="F7" i="12"/>
  <c r="F14" i="12"/>
  <c r="F22" i="12"/>
  <c r="F15" i="12"/>
  <c r="N15" i="12" s="1"/>
  <c r="F23" i="12"/>
  <c r="N23" i="12" s="1"/>
  <c r="F25" i="12"/>
  <c r="F8" i="12"/>
  <c r="F16" i="12"/>
  <c r="F24" i="12"/>
  <c r="F9" i="12"/>
  <c r="F10" i="12"/>
  <c r="F18" i="12"/>
  <c r="F26" i="12"/>
  <c r="F11" i="12"/>
  <c r="F19" i="12"/>
  <c r="F27" i="12"/>
  <c r="F10" i="4"/>
  <c r="N10" i="4"/>
  <c r="O10" i="4" s="1"/>
  <c r="F28" i="11"/>
  <c r="F20" i="11"/>
  <c r="F12" i="11"/>
  <c r="F27" i="11"/>
  <c r="F19" i="11"/>
  <c r="F11" i="11"/>
  <c r="F14" i="11"/>
  <c r="F26" i="11"/>
  <c r="F18" i="11"/>
  <c r="F10" i="11"/>
  <c r="F22" i="11"/>
  <c r="F13" i="11"/>
  <c r="F25" i="11"/>
  <c r="F17" i="11"/>
  <c r="F9" i="11"/>
  <c r="F24" i="11"/>
  <c r="F16" i="11"/>
  <c r="F8" i="11"/>
  <c r="F23" i="11"/>
  <c r="F15" i="11"/>
  <c r="F7" i="11"/>
  <c r="F21" i="11"/>
  <c r="N16" i="4"/>
  <c r="G10" i="10"/>
  <c r="G18" i="10"/>
  <c r="G26" i="10"/>
  <c r="G25" i="10"/>
  <c r="G11" i="10"/>
  <c r="G19" i="10"/>
  <c r="G7" i="10"/>
  <c r="G23" i="10"/>
  <c r="G12" i="10"/>
  <c r="G20" i="10"/>
  <c r="G15" i="10"/>
  <c r="G13" i="10"/>
  <c r="G21" i="10"/>
  <c r="G14" i="10"/>
  <c r="G22" i="10"/>
  <c r="G17" i="10"/>
  <c r="G8" i="10"/>
  <c r="G16" i="10"/>
  <c r="G24" i="10"/>
  <c r="G9" i="10"/>
  <c r="I12" i="8"/>
  <c r="I13" i="8"/>
  <c r="I11" i="8"/>
  <c r="I14" i="8"/>
  <c r="I17" i="8"/>
  <c r="I15" i="8"/>
  <c r="I7" i="8"/>
  <c r="I8" i="8"/>
  <c r="I16" i="8"/>
  <c r="I9" i="8"/>
  <c r="I10" i="8"/>
  <c r="I18" i="8"/>
  <c r="H14" i="9"/>
  <c r="H11" i="9"/>
  <c r="H15" i="9"/>
  <c r="H8" i="9"/>
  <c r="H16" i="9"/>
  <c r="H9" i="9"/>
  <c r="H7" i="9"/>
  <c r="H10" i="9"/>
  <c r="H12" i="9"/>
  <c r="H13" i="9"/>
  <c r="F12" i="4"/>
  <c r="F28" i="4"/>
  <c r="F7" i="4"/>
  <c r="N7" i="4"/>
  <c r="N8" i="4"/>
  <c r="F8" i="4"/>
  <c r="N9" i="4"/>
  <c r="F9" i="4"/>
  <c r="E12" i="4"/>
  <c r="E18" i="4"/>
  <c r="E22" i="4"/>
  <c r="E26" i="4"/>
  <c r="M19" i="4"/>
  <c r="M23" i="4"/>
  <c r="F20" i="4"/>
  <c r="N17" i="4"/>
  <c r="F13" i="4"/>
  <c r="N11" i="4"/>
  <c r="N19" i="4"/>
  <c r="F14" i="4"/>
  <c r="F26" i="4"/>
  <c r="N12" i="4"/>
  <c r="N21" i="4"/>
  <c r="F15" i="4"/>
  <c r="N13" i="4"/>
  <c r="F16" i="4"/>
  <c r="N14" i="4"/>
  <c r="F17" i="4"/>
  <c r="N15" i="4"/>
  <c r="N27" i="4"/>
  <c r="O27" i="4" s="1"/>
  <c r="E9" i="4"/>
  <c r="F22" i="4"/>
  <c r="M8" i="4"/>
  <c r="F24" i="4"/>
  <c r="N23" i="4"/>
  <c r="E10" i="4"/>
  <c r="M9" i="4"/>
  <c r="N25" i="4"/>
  <c r="F18" i="4"/>
  <c r="M7" i="4"/>
  <c r="E19" i="4"/>
  <c r="E27" i="4"/>
  <c r="M20" i="4"/>
  <c r="M28" i="4"/>
  <c r="G12" i="5"/>
  <c r="F19" i="4"/>
  <c r="F23" i="4"/>
  <c r="F27" i="4"/>
  <c r="N20" i="4"/>
  <c r="N24" i="4"/>
  <c r="N28" i="4"/>
  <c r="E23" i="4"/>
  <c r="M24" i="4"/>
  <c r="E20" i="4"/>
  <c r="E24" i="4"/>
  <c r="E28" i="4"/>
  <c r="M21" i="4"/>
  <c r="M25" i="4"/>
  <c r="E21" i="4"/>
  <c r="E25" i="4"/>
  <c r="M18" i="4"/>
  <c r="M22" i="4"/>
  <c r="M26" i="4"/>
  <c r="E16" i="4"/>
  <c r="F21" i="4"/>
  <c r="F25" i="4"/>
  <c r="N18" i="4"/>
  <c r="N22" i="4"/>
  <c r="N26" i="4"/>
  <c r="M14" i="4"/>
  <c r="E13" i="4"/>
  <c r="E17" i="4"/>
  <c r="M11" i="4"/>
  <c r="M15" i="4"/>
  <c r="M12" i="4"/>
  <c r="M16" i="4"/>
  <c r="E14" i="4"/>
  <c r="E11" i="4"/>
  <c r="E15" i="4"/>
  <c r="M13" i="4"/>
  <c r="M17" i="4"/>
  <c r="M7" i="13" l="1"/>
  <c r="O7" i="13" s="1"/>
  <c r="G7" i="13"/>
  <c r="I7" i="13" s="1"/>
  <c r="J7" i="13" s="1"/>
  <c r="K7" i="13" s="1"/>
  <c r="M8" i="13"/>
  <c r="O8" i="13" s="1"/>
  <c r="G8" i="13"/>
  <c r="I8" i="13" s="1"/>
  <c r="J8" i="13" s="1"/>
  <c r="K8" i="13" s="1"/>
  <c r="O16" i="4"/>
  <c r="G23" i="11"/>
  <c r="I23" i="11" s="1"/>
  <c r="J23" i="11" s="1"/>
  <c r="K23" i="11" s="1"/>
  <c r="N23" i="11"/>
  <c r="O23" i="11" s="1"/>
  <c r="G22" i="11"/>
  <c r="I22" i="11" s="1"/>
  <c r="J22" i="11" s="1"/>
  <c r="K22" i="11" s="1"/>
  <c r="N22" i="11"/>
  <c r="O22" i="11" s="1"/>
  <c r="G12" i="11"/>
  <c r="I12" i="11" s="1"/>
  <c r="J12" i="11" s="1"/>
  <c r="K12" i="11" s="1"/>
  <c r="N12" i="11"/>
  <c r="O12" i="11" s="1"/>
  <c r="G19" i="12"/>
  <c r="I19" i="12" s="1"/>
  <c r="J19" i="12" s="1"/>
  <c r="K19" i="12" s="1"/>
  <c r="N19" i="12"/>
  <c r="O19" i="12" s="1"/>
  <c r="G8" i="12"/>
  <c r="I8" i="12" s="1"/>
  <c r="J8" i="12" s="1"/>
  <c r="K8" i="12" s="1"/>
  <c r="N8" i="12"/>
  <c r="O8" i="12" s="1"/>
  <c r="N13" i="12"/>
  <c r="O13" i="12" s="1"/>
  <c r="G13" i="12"/>
  <c r="I13" i="12" s="1"/>
  <c r="J13" i="12" s="1"/>
  <c r="K13" i="12" s="1"/>
  <c r="G8" i="11"/>
  <c r="I8" i="11" s="1"/>
  <c r="J8" i="11" s="1"/>
  <c r="K8" i="11" s="1"/>
  <c r="N8" i="11"/>
  <c r="O8" i="11" s="1"/>
  <c r="G10" i="11"/>
  <c r="I10" i="11" s="1"/>
  <c r="J10" i="11" s="1"/>
  <c r="K10" i="11" s="1"/>
  <c r="N10" i="11"/>
  <c r="O10" i="11" s="1"/>
  <c r="G20" i="11"/>
  <c r="I20" i="11" s="1"/>
  <c r="J20" i="11" s="1"/>
  <c r="K20" i="11" s="1"/>
  <c r="N20" i="11"/>
  <c r="O20" i="11" s="1"/>
  <c r="G11" i="12"/>
  <c r="I11" i="12" s="1"/>
  <c r="J11" i="12" s="1"/>
  <c r="K11" i="12" s="1"/>
  <c r="N11" i="12"/>
  <c r="O11" i="12" s="1"/>
  <c r="N25" i="12"/>
  <c r="O25" i="12" s="1"/>
  <c r="G25" i="12"/>
  <c r="I25" i="12" s="1"/>
  <c r="J25" i="12" s="1"/>
  <c r="K25" i="12" s="1"/>
  <c r="N17" i="12"/>
  <c r="O17" i="12" s="1"/>
  <c r="G17" i="12"/>
  <c r="I17" i="12" s="1"/>
  <c r="J17" i="12" s="1"/>
  <c r="K17" i="12" s="1"/>
  <c r="G16" i="11"/>
  <c r="I16" i="11" s="1"/>
  <c r="J16" i="11" s="1"/>
  <c r="K16" i="11" s="1"/>
  <c r="N16" i="11"/>
  <c r="O16" i="11" s="1"/>
  <c r="N26" i="12"/>
  <c r="O26" i="12" s="1"/>
  <c r="G26" i="12"/>
  <c r="I26" i="12" s="1"/>
  <c r="J26" i="12" s="1"/>
  <c r="K26" i="12" s="1"/>
  <c r="O9" i="4"/>
  <c r="G9" i="11"/>
  <c r="I9" i="11" s="1"/>
  <c r="J9" i="11" s="1"/>
  <c r="K9" i="11" s="1"/>
  <c r="N9" i="11"/>
  <c r="O9" i="11" s="1"/>
  <c r="G14" i="11"/>
  <c r="I14" i="11" s="1"/>
  <c r="J14" i="11" s="1"/>
  <c r="K14" i="11" s="1"/>
  <c r="N14" i="11"/>
  <c r="O14" i="11" s="1"/>
  <c r="G10" i="12"/>
  <c r="I10" i="12" s="1"/>
  <c r="J10" i="12" s="1"/>
  <c r="K10" i="12" s="1"/>
  <c r="N10" i="12"/>
  <c r="O10" i="12" s="1"/>
  <c r="N22" i="12"/>
  <c r="O22" i="12" s="1"/>
  <c r="G22" i="12"/>
  <c r="I22" i="12" s="1"/>
  <c r="J22" i="12" s="1"/>
  <c r="K22" i="12" s="1"/>
  <c r="G12" i="12"/>
  <c r="I12" i="12" s="1"/>
  <c r="J12" i="12" s="1"/>
  <c r="K12" i="12" s="1"/>
  <c r="N12" i="12"/>
  <c r="O12" i="12" s="1"/>
  <c r="G18" i="11"/>
  <c r="I18" i="11" s="1"/>
  <c r="J18" i="11" s="1"/>
  <c r="K18" i="11" s="1"/>
  <c r="N18" i="11"/>
  <c r="O18" i="11" s="1"/>
  <c r="N28" i="12"/>
  <c r="O28" i="12" s="1"/>
  <c r="G28" i="12"/>
  <c r="I28" i="12" s="1"/>
  <c r="J28" i="12" s="1"/>
  <c r="K28" i="12" s="1"/>
  <c r="G21" i="11"/>
  <c r="I21" i="11" s="1"/>
  <c r="J21" i="11" s="1"/>
  <c r="K21" i="11" s="1"/>
  <c r="N21" i="11"/>
  <c r="O21" i="11" s="1"/>
  <c r="G17" i="11"/>
  <c r="I17" i="11" s="1"/>
  <c r="J17" i="11" s="1"/>
  <c r="K17" i="11" s="1"/>
  <c r="N17" i="11"/>
  <c r="O17" i="11" s="1"/>
  <c r="G11" i="11"/>
  <c r="I11" i="11" s="1"/>
  <c r="J11" i="11" s="1"/>
  <c r="K11" i="11" s="1"/>
  <c r="N11" i="11"/>
  <c r="O11" i="11" s="1"/>
  <c r="G9" i="12"/>
  <c r="I9" i="12" s="1"/>
  <c r="J9" i="12" s="1"/>
  <c r="K9" i="12" s="1"/>
  <c r="N9" i="12"/>
  <c r="O9" i="12" s="1"/>
  <c r="G14" i="12"/>
  <c r="I14" i="12" s="1"/>
  <c r="J14" i="12" s="1"/>
  <c r="K14" i="12" s="1"/>
  <c r="N14" i="12"/>
  <c r="O14" i="12" s="1"/>
  <c r="G24" i="11"/>
  <c r="I24" i="11" s="1"/>
  <c r="J24" i="11" s="1"/>
  <c r="K24" i="11" s="1"/>
  <c r="N24" i="11"/>
  <c r="O24" i="11" s="1"/>
  <c r="N18" i="12"/>
  <c r="O18" i="12" s="1"/>
  <c r="G18" i="12"/>
  <c r="I18" i="12" s="1"/>
  <c r="J18" i="12" s="1"/>
  <c r="K18" i="12" s="1"/>
  <c r="G15" i="12"/>
  <c r="I15" i="12" s="1"/>
  <c r="J15" i="12" s="1"/>
  <c r="K15" i="12" s="1"/>
  <c r="M15" i="12"/>
  <c r="O15" i="12" s="1"/>
  <c r="G7" i="11"/>
  <c r="I7" i="11" s="1"/>
  <c r="J7" i="11" s="1"/>
  <c r="K7" i="11" s="1"/>
  <c r="N7" i="11"/>
  <c r="O7" i="11" s="1"/>
  <c r="G25" i="11"/>
  <c r="I25" i="11" s="1"/>
  <c r="J25" i="11" s="1"/>
  <c r="K25" i="11" s="1"/>
  <c r="N25" i="11"/>
  <c r="O25" i="11" s="1"/>
  <c r="G19" i="11"/>
  <c r="I19" i="11" s="1"/>
  <c r="J19" i="11" s="1"/>
  <c r="K19" i="11" s="1"/>
  <c r="N19" i="11"/>
  <c r="O19" i="11" s="1"/>
  <c r="N24" i="12"/>
  <c r="O24" i="12" s="1"/>
  <c r="G24" i="12"/>
  <c r="I24" i="12" s="1"/>
  <c r="J24" i="12" s="1"/>
  <c r="K24" i="12" s="1"/>
  <c r="G7" i="12"/>
  <c r="I7" i="12" s="1"/>
  <c r="J7" i="12" s="1"/>
  <c r="K7" i="12" s="1"/>
  <c r="N7" i="12"/>
  <c r="O7" i="12" s="1"/>
  <c r="G23" i="12"/>
  <c r="I23" i="12" s="1"/>
  <c r="J23" i="12" s="1"/>
  <c r="K23" i="12" s="1"/>
  <c r="M23" i="12"/>
  <c r="O23" i="12" s="1"/>
  <c r="G28" i="11"/>
  <c r="I28" i="11" s="1"/>
  <c r="J28" i="11" s="1"/>
  <c r="K28" i="11" s="1"/>
  <c r="N28" i="11"/>
  <c r="O28" i="11" s="1"/>
  <c r="G26" i="11"/>
  <c r="I26" i="11" s="1"/>
  <c r="J26" i="11" s="1"/>
  <c r="K26" i="11" s="1"/>
  <c r="N26" i="11"/>
  <c r="O26" i="11" s="1"/>
  <c r="N20" i="12"/>
  <c r="O20" i="12" s="1"/>
  <c r="G20" i="12"/>
  <c r="I20" i="12" s="1"/>
  <c r="J20" i="12" s="1"/>
  <c r="K20" i="12" s="1"/>
  <c r="G15" i="11"/>
  <c r="I15" i="11" s="1"/>
  <c r="J15" i="11" s="1"/>
  <c r="K15" i="11" s="1"/>
  <c r="N15" i="11"/>
  <c r="O15" i="11" s="1"/>
  <c r="G13" i="11"/>
  <c r="I13" i="11" s="1"/>
  <c r="J13" i="11" s="1"/>
  <c r="K13" i="11" s="1"/>
  <c r="N13" i="11"/>
  <c r="O13" i="11" s="1"/>
  <c r="G27" i="11"/>
  <c r="I27" i="11" s="1"/>
  <c r="J27" i="11" s="1"/>
  <c r="K27" i="11" s="1"/>
  <c r="N27" i="11"/>
  <c r="O27" i="11" s="1"/>
  <c r="N27" i="12"/>
  <c r="O27" i="12" s="1"/>
  <c r="G27" i="12"/>
  <c r="I27" i="12" s="1"/>
  <c r="J27" i="12" s="1"/>
  <c r="K27" i="12" s="1"/>
  <c r="N16" i="12"/>
  <c r="O16" i="12" s="1"/>
  <c r="G16" i="12"/>
  <c r="I16" i="12" s="1"/>
  <c r="J16" i="12" s="1"/>
  <c r="K16" i="12" s="1"/>
  <c r="N21" i="12"/>
  <c r="O21" i="12" s="1"/>
  <c r="G21" i="12"/>
  <c r="I21" i="12" s="1"/>
  <c r="J21" i="12" s="1"/>
  <c r="K21" i="12" s="1"/>
  <c r="O25" i="4"/>
  <c r="O20" i="4"/>
  <c r="O14" i="4"/>
  <c r="O28" i="4"/>
  <c r="O7" i="4"/>
  <c r="O11" i="4"/>
  <c r="O19" i="4"/>
  <c r="O23" i="4"/>
  <c r="O8" i="4"/>
  <c r="O24" i="4"/>
  <c r="O17" i="4"/>
  <c r="O18" i="4"/>
  <c r="O12" i="4"/>
  <c r="O13" i="4"/>
  <c r="O15" i="4"/>
  <c r="O21" i="4"/>
  <c r="O22" i="4"/>
  <c r="O26" i="4"/>
  <c r="F10" i="1" l="1"/>
  <c r="F11" i="1"/>
  <c r="F12" i="1"/>
  <c r="F7" i="1"/>
  <c r="B13" i="1"/>
  <c r="B9" i="1"/>
  <c r="F9" i="1" s="1"/>
  <c r="B8" i="1"/>
  <c r="F8" i="1" s="1"/>
  <c r="F13" i="1" l="1"/>
  <c r="F14" i="1" l="1"/>
  <c r="H19" i="1" l="1"/>
  <c r="J19" i="1"/>
  <c r="I19" i="1"/>
  <c r="H7" i="1" l="1"/>
  <c r="L7" i="1" s="1"/>
  <c r="H11" i="1"/>
  <c r="L11" i="1" s="1"/>
  <c r="J9" i="1"/>
  <c r="J13" i="1"/>
  <c r="J11" i="1"/>
  <c r="J12" i="1"/>
  <c r="J10" i="1"/>
  <c r="J7" i="1"/>
  <c r="J8" i="1"/>
  <c r="I8" i="1"/>
  <c r="I12" i="1"/>
  <c r="I11" i="1"/>
  <c r="I9" i="1"/>
  <c r="I13" i="1"/>
  <c r="I10" i="1"/>
  <c r="I7" i="1"/>
  <c r="H12" i="1"/>
  <c r="H9" i="1"/>
  <c r="H8" i="1"/>
  <c r="J28" i="3" s="1"/>
  <c r="H10" i="1"/>
  <c r="J48" i="3" s="1"/>
  <c r="H13" i="1"/>
  <c r="J20" i="3" l="1"/>
  <c r="K8" i="5"/>
  <c r="K18" i="5"/>
  <c r="R9" i="11" s="1"/>
  <c r="V9" i="11" s="1"/>
  <c r="Z9" i="11" s="1"/>
  <c r="J37" i="5"/>
  <c r="I15" i="9" s="1"/>
  <c r="L12" i="1"/>
  <c r="P12" i="1"/>
  <c r="L13" i="1"/>
  <c r="H57" i="5"/>
  <c r="P13" i="1"/>
  <c r="N10" i="1"/>
  <c r="L37" i="5"/>
  <c r="L48" i="3"/>
  <c r="M8" i="1"/>
  <c r="L18" i="5"/>
  <c r="K28" i="3"/>
  <c r="M7" i="1"/>
  <c r="L8" i="5"/>
  <c r="K20" i="3"/>
  <c r="P7" i="1"/>
  <c r="N12" i="1"/>
  <c r="L55" i="3"/>
  <c r="G52" i="5"/>
  <c r="N7" i="1"/>
  <c r="M8" i="5"/>
  <c r="L20" i="3"/>
  <c r="L10" i="1"/>
  <c r="P10" i="1"/>
  <c r="M9" i="1"/>
  <c r="K38" i="3"/>
  <c r="L28" i="5"/>
  <c r="N11" i="1"/>
  <c r="L43" i="3"/>
  <c r="L36" i="5"/>
  <c r="L9" i="1"/>
  <c r="P9" i="1"/>
  <c r="K28" i="5"/>
  <c r="M10" i="1"/>
  <c r="K37" i="5"/>
  <c r="K48" i="3"/>
  <c r="M11" i="1"/>
  <c r="K43" i="3"/>
  <c r="K36" i="5"/>
  <c r="P11" i="1"/>
  <c r="N13" i="1"/>
  <c r="J57" i="5"/>
  <c r="L63" i="3"/>
  <c r="N8" i="1"/>
  <c r="L28" i="3"/>
  <c r="M18" i="5"/>
  <c r="M13" i="1"/>
  <c r="I57" i="5"/>
  <c r="K63" i="3"/>
  <c r="L8" i="1"/>
  <c r="P8" i="1"/>
  <c r="M12" i="1"/>
  <c r="F52" i="5"/>
  <c r="K55" i="3"/>
  <c r="N9" i="1"/>
  <c r="M28" i="5"/>
  <c r="L38" i="3"/>
  <c r="I14" i="9"/>
  <c r="I12" i="9"/>
  <c r="I10" i="9"/>
  <c r="I11" i="9"/>
  <c r="R26" i="4"/>
  <c r="V26" i="4" s="1"/>
  <c r="Z26" i="4" s="1"/>
  <c r="R13" i="4"/>
  <c r="V13" i="4" s="1"/>
  <c r="Z13" i="4" s="1"/>
  <c r="R21" i="4"/>
  <c r="V21" i="4" s="1"/>
  <c r="Z21" i="4" s="1"/>
  <c r="R8" i="4"/>
  <c r="V8" i="4" s="1"/>
  <c r="Z8" i="4" s="1"/>
  <c r="R16" i="4"/>
  <c r="V16" i="4" s="1"/>
  <c r="Z16" i="4" s="1"/>
  <c r="R24" i="4"/>
  <c r="V24" i="4" s="1"/>
  <c r="Z24" i="4" s="1"/>
  <c r="R11" i="4"/>
  <c r="V11" i="4" s="1"/>
  <c r="Z11" i="4" s="1"/>
  <c r="R19" i="4"/>
  <c r="V19" i="4" s="1"/>
  <c r="Z19" i="4" s="1"/>
  <c r="R27" i="4"/>
  <c r="V27" i="4" s="1"/>
  <c r="Z27" i="4" s="1"/>
  <c r="R10" i="4"/>
  <c r="V10" i="4" s="1"/>
  <c r="Z10" i="4" s="1"/>
  <c r="R7" i="4"/>
  <c r="V7" i="4" s="1"/>
  <c r="Z7" i="4" s="1"/>
  <c r="R14" i="4"/>
  <c r="V14" i="4" s="1"/>
  <c r="Z14" i="4" s="1"/>
  <c r="R22" i="4"/>
  <c r="V22" i="4" s="1"/>
  <c r="Z22" i="4" s="1"/>
  <c r="R12" i="4"/>
  <c r="V12" i="4" s="1"/>
  <c r="Z12" i="4" s="1"/>
  <c r="R28" i="4"/>
  <c r="V28" i="4" s="1"/>
  <c r="Z28" i="4" s="1"/>
  <c r="R15" i="4"/>
  <c r="V15" i="4" s="1"/>
  <c r="Z15" i="4" s="1"/>
  <c r="R23" i="4"/>
  <c r="V23" i="4" s="1"/>
  <c r="Z23" i="4" s="1"/>
  <c r="R18" i="4"/>
  <c r="V18" i="4" s="1"/>
  <c r="Z18" i="4" s="1"/>
  <c r="R9" i="4"/>
  <c r="V9" i="4" s="1"/>
  <c r="Z9" i="4" s="1"/>
  <c r="R17" i="4"/>
  <c r="V17" i="4" s="1"/>
  <c r="Z17" i="4" s="1"/>
  <c r="R25" i="4"/>
  <c r="V25" i="4" s="1"/>
  <c r="Z25" i="4" s="1"/>
  <c r="R20" i="4"/>
  <c r="V20" i="4" s="1"/>
  <c r="Z20" i="4" s="1"/>
  <c r="J55" i="3"/>
  <c r="E52" i="5"/>
  <c r="J36" i="5"/>
  <c r="J38" i="3"/>
  <c r="J63" i="3"/>
  <c r="J43" i="3"/>
  <c r="D14" i="1"/>
  <c r="I8" i="9" l="1"/>
  <c r="I13" i="9"/>
  <c r="M13" i="9" s="1"/>
  <c r="I9" i="9"/>
  <c r="R16" i="11"/>
  <c r="V16" i="11" s="1"/>
  <c r="Z16" i="11" s="1"/>
  <c r="AI16" i="11" s="1"/>
  <c r="R23" i="11"/>
  <c r="V23" i="11" s="1"/>
  <c r="Z23" i="11" s="1"/>
  <c r="AI23" i="11" s="1"/>
  <c r="L14" i="1"/>
  <c r="H20" i="1" s="1"/>
  <c r="R21" i="11"/>
  <c r="V21" i="11" s="1"/>
  <c r="Z21" i="11" s="1"/>
  <c r="AI21" i="11" s="1"/>
  <c r="R14" i="11"/>
  <c r="V14" i="11" s="1"/>
  <c r="Z14" i="11" s="1"/>
  <c r="AE14" i="11" s="1"/>
  <c r="R13" i="11"/>
  <c r="V13" i="11" s="1"/>
  <c r="Z13" i="11" s="1"/>
  <c r="AI13" i="11" s="1"/>
  <c r="R28" i="11"/>
  <c r="V28" i="11" s="1"/>
  <c r="Z28" i="11" s="1"/>
  <c r="AI28" i="11" s="1"/>
  <c r="R15" i="11"/>
  <c r="V15" i="11" s="1"/>
  <c r="Z15" i="11" s="1"/>
  <c r="AI15" i="11" s="1"/>
  <c r="R7" i="11"/>
  <c r="V7" i="11" s="1"/>
  <c r="Z7" i="11" s="1"/>
  <c r="AE7" i="11" s="1"/>
  <c r="R24" i="11"/>
  <c r="V24" i="11" s="1"/>
  <c r="Z24" i="11" s="1"/>
  <c r="AE24" i="11" s="1"/>
  <c r="R20" i="11"/>
  <c r="V20" i="11" s="1"/>
  <c r="Z20" i="11" s="1"/>
  <c r="AE20" i="11" s="1"/>
  <c r="R19" i="11"/>
  <c r="V19" i="11" s="1"/>
  <c r="Z19" i="11" s="1"/>
  <c r="AI19" i="11" s="1"/>
  <c r="R26" i="11"/>
  <c r="V26" i="11" s="1"/>
  <c r="Z26" i="11" s="1"/>
  <c r="AE26" i="11" s="1"/>
  <c r="R25" i="11"/>
  <c r="V25" i="11" s="1"/>
  <c r="Z25" i="11" s="1"/>
  <c r="AE25" i="11" s="1"/>
  <c r="R27" i="11"/>
  <c r="V27" i="11" s="1"/>
  <c r="Z27" i="11" s="1"/>
  <c r="AE27" i="11" s="1"/>
  <c r="R12" i="11"/>
  <c r="V12" i="11" s="1"/>
  <c r="Z12" i="11" s="1"/>
  <c r="AI12" i="11" s="1"/>
  <c r="R11" i="11"/>
  <c r="V11" i="11" s="1"/>
  <c r="Z11" i="11" s="1"/>
  <c r="AE11" i="11" s="1"/>
  <c r="R18" i="11"/>
  <c r="V18" i="11" s="1"/>
  <c r="Z18" i="11" s="1"/>
  <c r="AE18" i="11" s="1"/>
  <c r="R17" i="11"/>
  <c r="V17" i="11" s="1"/>
  <c r="Z17" i="11" s="1"/>
  <c r="AE17" i="11" s="1"/>
  <c r="R8" i="11"/>
  <c r="V8" i="11" s="1"/>
  <c r="Z8" i="11" s="1"/>
  <c r="AI8" i="11" s="1"/>
  <c r="R22" i="11"/>
  <c r="V22" i="11" s="1"/>
  <c r="Z22" i="11" s="1"/>
  <c r="AI22" i="11" s="1"/>
  <c r="R10" i="11"/>
  <c r="V10" i="11" s="1"/>
  <c r="Z10" i="11" s="1"/>
  <c r="I7" i="9"/>
  <c r="M7" i="9" s="1"/>
  <c r="I16" i="9"/>
  <c r="R16" i="9" s="1"/>
  <c r="N14" i="1"/>
  <c r="J14" i="1" s="1"/>
  <c r="M14" i="1"/>
  <c r="I14" i="1" s="1"/>
  <c r="R8" i="12"/>
  <c r="V8" i="12" s="1"/>
  <c r="Z8" i="12" s="1"/>
  <c r="AE8" i="12" s="1"/>
  <c r="R21" i="12"/>
  <c r="V21" i="12" s="1"/>
  <c r="Z21" i="12" s="1"/>
  <c r="AI21" i="12" s="1"/>
  <c r="R22" i="12"/>
  <c r="V22" i="12" s="1"/>
  <c r="Z22" i="12" s="1"/>
  <c r="AI22" i="12" s="1"/>
  <c r="R9" i="12"/>
  <c r="V9" i="12" s="1"/>
  <c r="Z9" i="12" s="1"/>
  <c r="AE9" i="12" s="1"/>
  <c r="R14" i="12"/>
  <c r="V14" i="12" s="1"/>
  <c r="Z14" i="12" s="1"/>
  <c r="AE14" i="12" s="1"/>
  <c r="R19" i="12"/>
  <c r="V19" i="12" s="1"/>
  <c r="Z19" i="12" s="1"/>
  <c r="AE19" i="12" s="1"/>
  <c r="R15" i="12"/>
  <c r="V15" i="12" s="1"/>
  <c r="Z15" i="12" s="1"/>
  <c r="AI15" i="12" s="1"/>
  <c r="R20" i="12"/>
  <c r="V20" i="12" s="1"/>
  <c r="Z20" i="12" s="1"/>
  <c r="AI20" i="12" s="1"/>
  <c r="R12" i="12"/>
  <c r="V12" i="12" s="1"/>
  <c r="Z12" i="12" s="1"/>
  <c r="AI12" i="12" s="1"/>
  <c r="R17" i="12"/>
  <c r="V17" i="12" s="1"/>
  <c r="Z17" i="12" s="1"/>
  <c r="AE17" i="12" s="1"/>
  <c r="R23" i="12"/>
  <c r="V23" i="12" s="1"/>
  <c r="Z23" i="12" s="1"/>
  <c r="AE23" i="12" s="1"/>
  <c r="R25" i="12"/>
  <c r="V25" i="12" s="1"/>
  <c r="Z25" i="12" s="1"/>
  <c r="AI25" i="12" s="1"/>
  <c r="R24" i="12"/>
  <c r="V24" i="12" s="1"/>
  <c r="Z24" i="12" s="1"/>
  <c r="AE24" i="12" s="1"/>
  <c r="R18" i="12"/>
  <c r="V18" i="12" s="1"/>
  <c r="Z18" i="12" s="1"/>
  <c r="AI18" i="12" s="1"/>
  <c r="R13" i="12"/>
  <c r="V13" i="12" s="1"/>
  <c r="Z13" i="12" s="1"/>
  <c r="AE13" i="12" s="1"/>
  <c r="R11" i="12"/>
  <c r="V11" i="12" s="1"/>
  <c r="Z11" i="12" s="1"/>
  <c r="AE11" i="12" s="1"/>
  <c r="R28" i="12"/>
  <c r="V28" i="12" s="1"/>
  <c r="Z28" i="12" s="1"/>
  <c r="AE28" i="12" s="1"/>
  <c r="R10" i="12"/>
  <c r="V10" i="12" s="1"/>
  <c r="Z10" i="12" s="1"/>
  <c r="AI10" i="12" s="1"/>
  <c r="R26" i="12"/>
  <c r="V26" i="12" s="1"/>
  <c r="Z26" i="12" s="1"/>
  <c r="AI26" i="12" s="1"/>
  <c r="R7" i="12"/>
  <c r="V7" i="12" s="1"/>
  <c r="Z7" i="12" s="1"/>
  <c r="AE7" i="12" s="1"/>
  <c r="R27" i="12"/>
  <c r="V27" i="12" s="1"/>
  <c r="Z27" i="12" s="1"/>
  <c r="AE27" i="12" s="1"/>
  <c r="R16" i="12"/>
  <c r="V16" i="12" s="1"/>
  <c r="Z16" i="12" s="1"/>
  <c r="AI16" i="12" s="1"/>
  <c r="T10" i="12"/>
  <c r="X10" i="12" s="1"/>
  <c r="AB10" i="12" s="1"/>
  <c r="T28" i="12"/>
  <c r="X28" i="12" s="1"/>
  <c r="AB28" i="12" s="1"/>
  <c r="T20" i="12"/>
  <c r="X20" i="12" s="1"/>
  <c r="AB20" i="12" s="1"/>
  <c r="T9" i="12"/>
  <c r="X9" i="12" s="1"/>
  <c r="AB9" i="12" s="1"/>
  <c r="T11" i="12"/>
  <c r="X11" i="12" s="1"/>
  <c r="AB11" i="12" s="1"/>
  <c r="T16" i="12"/>
  <c r="X16" i="12" s="1"/>
  <c r="AB16" i="12" s="1"/>
  <c r="T21" i="12"/>
  <c r="X21" i="12" s="1"/>
  <c r="AB21" i="12" s="1"/>
  <c r="T22" i="12"/>
  <c r="X22" i="12" s="1"/>
  <c r="AB22" i="12" s="1"/>
  <c r="T23" i="12"/>
  <c r="X23" i="12" s="1"/>
  <c r="AB23" i="12" s="1"/>
  <c r="T25" i="12"/>
  <c r="X25" i="12" s="1"/>
  <c r="AB25" i="12" s="1"/>
  <c r="T27" i="12"/>
  <c r="X27" i="12" s="1"/>
  <c r="AB27" i="12" s="1"/>
  <c r="T26" i="12"/>
  <c r="X26" i="12" s="1"/>
  <c r="AB26" i="12" s="1"/>
  <c r="T14" i="12"/>
  <c r="X14" i="12" s="1"/>
  <c r="AB14" i="12" s="1"/>
  <c r="T15" i="12"/>
  <c r="X15" i="12" s="1"/>
  <c r="AB15" i="12" s="1"/>
  <c r="T8" i="12"/>
  <c r="X8" i="12" s="1"/>
  <c r="AB8" i="12" s="1"/>
  <c r="T13" i="12"/>
  <c r="X13" i="12" s="1"/>
  <c r="AB13" i="12" s="1"/>
  <c r="T12" i="12"/>
  <c r="X12" i="12" s="1"/>
  <c r="AB12" i="12" s="1"/>
  <c r="T7" i="12"/>
  <c r="X7" i="12" s="1"/>
  <c r="AB7" i="12" s="1"/>
  <c r="T17" i="12"/>
  <c r="X17" i="12" s="1"/>
  <c r="AB17" i="12" s="1"/>
  <c r="T19" i="12"/>
  <c r="X19" i="12" s="1"/>
  <c r="AB19" i="12" s="1"/>
  <c r="T24" i="12"/>
  <c r="X24" i="12" s="1"/>
  <c r="AB24" i="12" s="1"/>
  <c r="T18" i="12"/>
  <c r="X18" i="12" s="1"/>
  <c r="AB18" i="12" s="1"/>
  <c r="S8" i="13"/>
  <c r="W8" i="13" s="1"/>
  <c r="AA8" i="13" s="1"/>
  <c r="S7" i="13"/>
  <c r="W7" i="13" s="1"/>
  <c r="AA7" i="13" s="1"/>
  <c r="K13" i="9"/>
  <c r="K15" i="9"/>
  <c r="K14" i="9"/>
  <c r="K10" i="9"/>
  <c r="K11" i="9"/>
  <c r="K8" i="9"/>
  <c r="K7" i="9"/>
  <c r="K9" i="9"/>
  <c r="K12" i="9"/>
  <c r="K16" i="9"/>
  <c r="L10" i="8"/>
  <c r="L11" i="8"/>
  <c r="L8" i="8"/>
  <c r="L13" i="8"/>
  <c r="L14" i="8"/>
  <c r="L15" i="8"/>
  <c r="L18" i="8"/>
  <c r="L16" i="8"/>
  <c r="L9" i="8"/>
  <c r="L12" i="8"/>
  <c r="L7" i="8"/>
  <c r="L17" i="8"/>
  <c r="T11" i="11"/>
  <c r="X11" i="11" s="1"/>
  <c r="AB11" i="11" s="1"/>
  <c r="T10" i="11"/>
  <c r="X10" i="11" s="1"/>
  <c r="AB10" i="11" s="1"/>
  <c r="T21" i="11"/>
  <c r="X21" i="11" s="1"/>
  <c r="AB21" i="11" s="1"/>
  <c r="T15" i="11"/>
  <c r="X15" i="11" s="1"/>
  <c r="AB15" i="11" s="1"/>
  <c r="T27" i="11"/>
  <c r="X27" i="11" s="1"/>
  <c r="AB27" i="11" s="1"/>
  <c r="T23" i="11"/>
  <c r="X23" i="11" s="1"/>
  <c r="AB23" i="11" s="1"/>
  <c r="T26" i="11"/>
  <c r="X26" i="11" s="1"/>
  <c r="AB26" i="11" s="1"/>
  <c r="T8" i="11"/>
  <c r="X8" i="11" s="1"/>
  <c r="AB8" i="11" s="1"/>
  <c r="T24" i="11"/>
  <c r="X24" i="11" s="1"/>
  <c r="AB24" i="11" s="1"/>
  <c r="T13" i="11"/>
  <c r="X13" i="11" s="1"/>
  <c r="AB13" i="11" s="1"/>
  <c r="T28" i="11"/>
  <c r="X28" i="11" s="1"/>
  <c r="AB28" i="11" s="1"/>
  <c r="T19" i="11"/>
  <c r="X19" i="11" s="1"/>
  <c r="AB19" i="11" s="1"/>
  <c r="T12" i="11"/>
  <c r="X12" i="11" s="1"/>
  <c r="AB12" i="11" s="1"/>
  <c r="T18" i="11"/>
  <c r="X18" i="11" s="1"/>
  <c r="AB18" i="11" s="1"/>
  <c r="T25" i="11"/>
  <c r="X25" i="11" s="1"/>
  <c r="AB25" i="11" s="1"/>
  <c r="T22" i="11"/>
  <c r="X22" i="11" s="1"/>
  <c r="AB22" i="11" s="1"/>
  <c r="T16" i="11"/>
  <c r="X16" i="11" s="1"/>
  <c r="AB16" i="11" s="1"/>
  <c r="T7" i="11"/>
  <c r="X7" i="11" s="1"/>
  <c r="AB7" i="11" s="1"/>
  <c r="T20" i="11"/>
  <c r="X20" i="11" s="1"/>
  <c r="AB20" i="11" s="1"/>
  <c r="T17" i="11"/>
  <c r="X17" i="11" s="1"/>
  <c r="AB17" i="11" s="1"/>
  <c r="T14" i="11"/>
  <c r="X14" i="11" s="1"/>
  <c r="AB14" i="11" s="1"/>
  <c r="T9" i="11"/>
  <c r="X9" i="11" s="1"/>
  <c r="AB9" i="11" s="1"/>
  <c r="M8" i="8"/>
  <c r="M12" i="8"/>
  <c r="M17" i="8"/>
  <c r="M16" i="8"/>
  <c r="M10" i="8"/>
  <c r="M7" i="8"/>
  <c r="M9" i="8"/>
  <c r="M14" i="8"/>
  <c r="M11" i="8"/>
  <c r="M13" i="8"/>
  <c r="M18" i="8"/>
  <c r="M15" i="8"/>
  <c r="S10" i="4"/>
  <c r="W10" i="4" s="1"/>
  <c r="AA10" i="4" s="1"/>
  <c r="S25" i="4"/>
  <c r="W25" i="4" s="1"/>
  <c r="AA25" i="4" s="1"/>
  <c r="S27" i="4"/>
  <c r="W27" i="4" s="1"/>
  <c r="AA27" i="4" s="1"/>
  <c r="S9" i="4"/>
  <c r="W9" i="4" s="1"/>
  <c r="AA9" i="4" s="1"/>
  <c r="S23" i="4"/>
  <c r="W23" i="4" s="1"/>
  <c r="AA23" i="4" s="1"/>
  <c r="S26" i="4"/>
  <c r="W26" i="4" s="1"/>
  <c r="AA26" i="4" s="1"/>
  <c r="S7" i="4"/>
  <c r="W7" i="4" s="1"/>
  <c r="AA7" i="4" s="1"/>
  <c r="S28" i="4"/>
  <c r="W28" i="4" s="1"/>
  <c r="AA28" i="4" s="1"/>
  <c r="S19" i="4"/>
  <c r="W19" i="4" s="1"/>
  <c r="AA19" i="4" s="1"/>
  <c r="S22" i="4"/>
  <c r="W22" i="4" s="1"/>
  <c r="AA22" i="4" s="1"/>
  <c r="S12" i="4"/>
  <c r="W12" i="4" s="1"/>
  <c r="AA12" i="4" s="1"/>
  <c r="S13" i="4"/>
  <c r="W13" i="4" s="1"/>
  <c r="AA13" i="4" s="1"/>
  <c r="S24" i="4"/>
  <c r="W24" i="4" s="1"/>
  <c r="AA24" i="4" s="1"/>
  <c r="S15" i="4"/>
  <c r="W15" i="4" s="1"/>
  <c r="AA15" i="4" s="1"/>
  <c r="S18" i="4"/>
  <c r="W18" i="4" s="1"/>
  <c r="AA18" i="4" s="1"/>
  <c r="S21" i="4"/>
  <c r="W21" i="4" s="1"/>
  <c r="AA21" i="4" s="1"/>
  <c r="S20" i="4"/>
  <c r="W20" i="4" s="1"/>
  <c r="AA20" i="4" s="1"/>
  <c r="S11" i="4"/>
  <c r="W11" i="4" s="1"/>
  <c r="AA11" i="4" s="1"/>
  <c r="S14" i="4"/>
  <c r="W14" i="4" s="1"/>
  <c r="AA14" i="4" s="1"/>
  <c r="S17" i="4"/>
  <c r="W17" i="4" s="1"/>
  <c r="AA17" i="4" s="1"/>
  <c r="S16" i="4"/>
  <c r="W16" i="4" s="1"/>
  <c r="AA16" i="4" s="1"/>
  <c r="S8" i="4"/>
  <c r="W8" i="4" s="1"/>
  <c r="AA8" i="4" s="1"/>
  <c r="I13" i="10"/>
  <c r="I21" i="10"/>
  <c r="I19" i="10"/>
  <c r="I8" i="10"/>
  <c r="I16" i="10"/>
  <c r="I24" i="10"/>
  <c r="I7" i="10"/>
  <c r="I11" i="10"/>
  <c r="I9" i="10"/>
  <c r="I17" i="10"/>
  <c r="I25" i="10"/>
  <c r="I14" i="10"/>
  <c r="I12" i="10"/>
  <c r="I20" i="10"/>
  <c r="I15" i="10"/>
  <c r="I23" i="10"/>
  <c r="I22" i="10"/>
  <c r="I10" i="10"/>
  <c r="I18" i="10"/>
  <c r="I26" i="10"/>
  <c r="T10" i="4"/>
  <c r="X10" i="4" s="1"/>
  <c r="AB10" i="4" s="1"/>
  <c r="T19" i="4"/>
  <c r="X19" i="4" s="1"/>
  <c r="AB19" i="4" s="1"/>
  <c r="T12" i="4"/>
  <c r="X12" i="4" s="1"/>
  <c r="AB12" i="4" s="1"/>
  <c r="T14" i="4"/>
  <c r="X14" i="4" s="1"/>
  <c r="AB14" i="4" s="1"/>
  <c r="T20" i="4"/>
  <c r="X20" i="4" s="1"/>
  <c r="AB20" i="4" s="1"/>
  <c r="T7" i="4"/>
  <c r="X7" i="4" s="1"/>
  <c r="AB7" i="4" s="1"/>
  <c r="T13" i="4"/>
  <c r="X13" i="4" s="1"/>
  <c r="AB13" i="4" s="1"/>
  <c r="T8" i="4"/>
  <c r="X8" i="4" s="1"/>
  <c r="AB8" i="4" s="1"/>
  <c r="T11" i="4"/>
  <c r="X11" i="4" s="1"/>
  <c r="AB11" i="4" s="1"/>
  <c r="T23" i="4"/>
  <c r="X23" i="4" s="1"/>
  <c r="AB23" i="4" s="1"/>
  <c r="T16" i="4"/>
  <c r="X16" i="4" s="1"/>
  <c r="AB16" i="4" s="1"/>
  <c r="T21" i="4"/>
  <c r="X21" i="4" s="1"/>
  <c r="AB21" i="4" s="1"/>
  <c r="T17" i="4"/>
  <c r="X17" i="4" s="1"/>
  <c r="AB17" i="4" s="1"/>
  <c r="T18" i="4"/>
  <c r="X18" i="4" s="1"/>
  <c r="AB18" i="4" s="1"/>
  <c r="T27" i="4"/>
  <c r="X27" i="4" s="1"/>
  <c r="AB27" i="4" s="1"/>
  <c r="T28" i="4"/>
  <c r="X28" i="4" s="1"/>
  <c r="AB28" i="4" s="1"/>
  <c r="T25" i="4"/>
  <c r="X25" i="4" s="1"/>
  <c r="AB25" i="4" s="1"/>
  <c r="T15" i="4"/>
  <c r="X15" i="4" s="1"/>
  <c r="AB15" i="4" s="1"/>
  <c r="T9" i="4"/>
  <c r="X9" i="4" s="1"/>
  <c r="AB9" i="4" s="1"/>
  <c r="T24" i="4"/>
  <c r="X24" i="4" s="1"/>
  <c r="AB24" i="4" s="1"/>
  <c r="T26" i="4"/>
  <c r="X26" i="4" s="1"/>
  <c r="AB26" i="4" s="1"/>
  <c r="T22" i="4"/>
  <c r="X22" i="4" s="1"/>
  <c r="AB22" i="4" s="1"/>
  <c r="R8" i="13"/>
  <c r="V8" i="13" s="1"/>
  <c r="Z8" i="13" s="1"/>
  <c r="R7" i="13"/>
  <c r="V7" i="13" s="1"/>
  <c r="Z7" i="13" s="1"/>
  <c r="H8" i="10"/>
  <c r="H16" i="10"/>
  <c r="H24" i="10"/>
  <c r="Q24" i="10" s="1"/>
  <c r="H11" i="10"/>
  <c r="H19" i="10"/>
  <c r="H9" i="10"/>
  <c r="H25" i="10"/>
  <c r="Q25" i="10" s="1"/>
  <c r="H12" i="10"/>
  <c r="H20" i="10"/>
  <c r="H22" i="10"/>
  <c r="H15" i="10"/>
  <c r="H23" i="10"/>
  <c r="Q23" i="10" s="1"/>
  <c r="H17" i="10"/>
  <c r="H10" i="10"/>
  <c r="H18" i="10"/>
  <c r="H26" i="10"/>
  <c r="Q26" i="10" s="1"/>
  <c r="H13" i="10"/>
  <c r="H21" i="10"/>
  <c r="H14" i="10"/>
  <c r="H7" i="10"/>
  <c r="J8" i="9"/>
  <c r="J7" i="9"/>
  <c r="J10" i="9"/>
  <c r="J9" i="9"/>
  <c r="J16" i="9"/>
  <c r="J14" i="9"/>
  <c r="J13" i="9"/>
  <c r="J15" i="9"/>
  <c r="J11" i="9"/>
  <c r="J12" i="9"/>
  <c r="S13" i="12"/>
  <c r="W13" i="12" s="1"/>
  <c r="AA13" i="12" s="1"/>
  <c r="S15" i="12"/>
  <c r="W15" i="12" s="1"/>
  <c r="AA15" i="12" s="1"/>
  <c r="S17" i="12"/>
  <c r="W17" i="12" s="1"/>
  <c r="AA17" i="12" s="1"/>
  <c r="S24" i="12"/>
  <c r="W24" i="12" s="1"/>
  <c r="AA24" i="12" s="1"/>
  <c r="S28" i="12"/>
  <c r="W28" i="12" s="1"/>
  <c r="AA28" i="12" s="1"/>
  <c r="S7" i="12"/>
  <c r="W7" i="12" s="1"/>
  <c r="AA7" i="12" s="1"/>
  <c r="S12" i="12"/>
  <c r="W12" i="12" s="1"/>
  <c r="AA12" i="12" s="1"/>
  <c r="S10" i="12"/>
  <c r="W10" i="12" s="1"/>
  <c r="AA10" i="12" s="1"/>
  <c r="S26" i="12"/>
  <c r="W26" i="12" s="1"/>
  <c r="AA26" i="12" s="1"/>
  <c r="S11" i="12"/>
  <c r="W11" i="12" s="1"/>
  <c r="AA11" i="12" s="1"/>
  <c r="S16" i="12"/>
  <c r="W16" i="12" s="1"/>
  <c r="AA16" i="12" s="1"/>
  <c r="S19" i="12"/>
  <c r="W19" i="12" s="1"/>
  <c r="AA19" i="12" s="1"/>
  <c r="S25" i="12"/>
  <c r="W25" i="12" s="1"/>
  <c r="AA25" i="12" s="1"/>
  <c r="S23" i="12"/>
  <c r="W23" i="12" s="1"/>
  <c r="AA23" i="12" s="1"/>
  <c r="S9" i="12"/>
  <c r="W9" i="12" s="1"/>
  <c r="AA9" i="12" s="1"/>
  <c r="S20" i="12"/>
  <c r="W20" i="12" s="1"/>
  <c r="AA20" i="12" s="1"/>
  <c r="S22" i="12"/>
  <c r="W22" i="12" s="1"/>
  <c r="AA22" i="12" s="1"/>
  <c r="S27" i="12"/>
  <c r="W27" i="12" s="1"/>
  <c r="AA27" i="12" s="1"/>
  <c r="S21" i="12"/>
  <c r="W21" i="12" s="1"/>
  <c r="AA21" i="12" s="1"/>
  <c r="S8" i="12"/>
  <c r="W8" i="12" s="1"/>
  <c r="AA8" i="12" s="1"/>
  <c r="S18" i="12"/>
  <c r="W18" i="12" s="1"/>
  <c r="AA18" i="12" s="1"/>
  <c r="S14" i="12"/>
  <c r="W14" i="12" s="1"/>
  <c r="AA14" i="12" s="1"/>
  <c r="J10" i="10"/>
  <c r="J18" i="10"/>
  <c r="J26" i="10"/>
  <c r="J8" i="10"/>
  <c r="J11" i="10"/>
  <c r="J13" i="10"/>
  <c r="J21" i="10"/>
  <c r="J24" i="10"/>
  <c r="J14" i="10"/>
  <c r="J22" i="10"/>
  <c r="J9" i="10"/>
  <c r="J17" i="10"/>
  <c r="J25" i="10"/>
  <c r="J16" i="10"/>
  <c r="J12" i="10"/>
  <c r="J20" i="10"/>
  <c r="J7" i="10"/>
  <c r="J15" i="10"/>
  <c r="J23" i="10"/>
  <c r="J19" i="10"/>
  <c r="S14" i="11"/>
  <c r="W14" i="11" s="1"/>
  <c r="AA14" i="11" s="1"/>
  <c r="S7" i="11"/>
  <c r="W7" i="11" s="1"/>
  <c r="AA7" i="11" s="1"/>
  <c r="S27" i="11"/>
  <c r="W27" i="11" s="1"/>
  <c r="AA27" i="11" s="1"/>
  <c r="S16" i="11"/>
  <c r="W16" i="11" s="1"/>
  <c r="AA16" i="11" s="1"/>
  <c r="S10" i="11"/>
  <c r="W10" i="11" s="1"/>
  <c r="AA10" i="11" s="1"/>
  <c r="S13" i="11"/>
  <c r="W13" i="11" s="1"/>
  <c r="AA13" i="11" s="1"/>
  <c r="S11" i="11"/>
  <c r="W11" i="11" s="1"/>
  <c r="AA11" i="11" s="1"/>
  <c r="S22" i="11"/>
  <c r="W22" i="11" s="1"/>
  <c r="AA22" i="11" s="1"/>
  <c r="S21" i="11"/>
  <c r="W21" i="11" s="1"/>
  <c r="AA21" i="11" s="1"/>
  <c r="S28" i="11"/>
  <c r="W28" i="11" s="1"/>
  <c r="AA28" i="11" s="1"/>
  <c r="S25" i="11"/>
  <c r="W25" i="11" s="1"/>
  <c r="AA25" i="11" s="1"/>
  <c r="S19" i="11"/>
  <c r="W19" i="11" s="1"/>
  <c r="AA19" i="11" s="1"/>
  <c r="S8" i="11"/>
  <c r="W8" i="11" s="1"/>
  <c r="AA8" i="11" s="1"/>
  <c r="S23" i="11"/>
  <c r="W23" i="11" s="1"/>
  <c r="AA23" i="11" s="1"/>
  <c r="S9" i="11"/>
  <c r="W9" i="11" s="1"/>
  <c r="AA9" i="11" s="1"/>
  <c r="S18" i="11"/>
  <c r="W18" i="11" s="1"/>
  <c r="AA18" i="11" s="1"/>
  <c r="S20" i="11"/>
  <c r="W20" i="11" s="1"/>
  <c r="AA20" i="11" s="1"/>
  <c r="S17" i="11"/>
  <c r="W17" i="11" s="1"/>
  <c r="AA17" i="11" s="1"/>
  <c r="S24" i="11"/>
  <c r="W24" i="11" s="1"/>
  <c r="AA24" i="11" s="1"/>
  <c r="S26" i="11"/>
  <c r="W26" i="11" s="1"/>
  <c r="AA26" i="11" s="1"/>
  <c r="S15" i="11"/>
  <c r="W15" i="11" s="1"/>
  <c r="AA15" i="11" s="1"/>
  <c r="S12" i="11"/>
  <c r="W12" i="11" s="1"/>
  <c r="AA12" i="11" s="1"/>
  <c r="T8" i="13"/>
  <c r="X8" i="13" s="1"/>
  <c r="AB8" i="13" s="1"/>
  <c r="T7" i="13"/>
  <c r="X7" i="13" s="1"/>
  <c r="AB7" i="13" s="1"/>
  <c r="K14" i="8"/>
  <c r="K9" i="8"/>
  <c r="K18" i="8"/>
  <c r="K17" i="8"/>
  <c r="K11" i="8"/>
  <c r="K13" i="8"/>
  <c r="K8" i="8"/>
  <c r="K10" i="8"/>
  <c r="K16" i="8"/>
  <c r="K7" i="8"/>
  <c r="K12" i="8"/>
  <c r="K15" i="8"/>
  <c r="R14" i="9"/>
  <c r="M14" i="9"/>
  <c r="R11" i="9"/>
  <c r="M11" i="9"/>
  <c r="R13" i="9"/>
  <c r="R9" i="9"/>
  <c r="M9" i="9"/>
  <c r="R10" i="9"/>
  <c r="M10" i="9"/>
  <c r="R15" i="9"/>
  <c r="M15" i="9"/>
  <c r="R8" i="9"/>
  <c r="M8" i="9"/>
  <c r="L25" i="10"/>
  <c r="R12" i="9"/>
  <c r="M12" i="9"/>
  <c r="AE21" i="12"/>
  <c r="AE16" i="11"/>
  <c r="AE19" i="11"/>
  <c r="AI9" i="11"/>
  <c r="AE9" i="11"/>
  <c r="AI10" i="11"/>
  <c r="AE10" i="11"/>
  <c r="AE23" i="11"/>
  <c r="H14" i="1"/>
  <c r="G7" i="4"/>
  <c r="I7" i="4" s="1"/>
  <c r="J7" i="4" s="1"/>
  <c r="K7" i="4" s="1"/>
  <c r="G23" i="4"/>
  <c r="I23" i="4" s="1"/>
  <c r="J23" i="4" s="1"/>
  <c r="K23" i="4" s="1"/>
  <c r="G24" i="4"/>
  <c r="I24" i="4" s="1"/>
  <c r="J24" i="4" s="1"/>
  <c r="K24" i="4" s="1"/>
  <c r="G8" i="4"/>
  <c r="I8" i="4" s="1"/>
  <c r="J8" i="4" s="1"/>
  <c r="K8" i="4" s="1"/>
  <c r="G21" i="4"/>
  <c r="I21" i="4" s="1"/>
  <c r="G13" i="4"/>
  <c r="I13" i="4" s="1"/>
  <c r="J13" i="4" s="1"/>
  <c r="K13" i="4" s="1"/>
  <c r="G15" i="4"/>
  <c r="I15" i="4" s="1"/>
  <c r="G28" i="4"/>
  <c r="I28" i="4" s="1"/>
  <c r="G17" i="4"/>
  <c r="I17" i="4" s="1"/>
  <c r="J17" i="4" s="1"/>
  <c r="K17" i="4" s="1"/>
  <c r="G10" i="4"/>
  <c r="I10" i="4" s="1"/>
  <c r="G19" i="4"/>
  <c r="I19" i="4" s="1"/>
  <c r="J19" i="4" s="1"/>
  <c r="K19" i="4" s="1"/>
  <c r="AI19" i="4" s="1"/>
  <c r="G11" i="4"/>
  <c r="I11" i="4" s="1"/>
  <c r="G22" i="4"/>
  <c r="I22" i="4" s="1"/>
  <c r="G16" i="4"/>
  <c r="I16" i="4" s="1"/>
  <c r="J16" i="4" s="1"/>
  <c r="K16" i="4" s="1"/>
  <c r="G18" i="4"/>
  <c r="I18" i="4" s="1"/>
  <c r="G20" i="4"/>
  <c r="I20" i="4" s="1"/>
  <c r="J20" i="4" s="1"/>
  <c r="K20" i="4" s="1"/>
  <c r="AI20" i="4" s="1"/>
  <c r="G26" i="4"/>
  <c r="I26" i="4" s="1"/>
  <c r="G9" i="4"/>
  <c r="I9" i="4" s="1"/>
  <c r="G14" i="4"/>
  <c r="I14" i="4" s="1"/>
  <c r="J14" i="4" s="1"/>
  <c r="K14" i="4" s="1"/>
  <c r="AE14" i="4" s="1"/>
  <c r="G25" i="4"/>
  <c r="I25" i="4" s="1"/>
  <c r="G27" i="4"/>
  <c r="I27" i="4" s="1"/>
  <c r="G12" i="4"/>
  <c r="I12" i="4" s="1"/>
  <c r="L15" i="1" l="1"/>
  <c r="AI27" i="12"/>
  <c r="AI18" i="11"/>
  <c r="AI14" i="11"/>
  <c r="AI7" i="11"/>
  <c r="AI23" i="12"/>
  <c r="AI26" i="11"/>
  <c r="AE8" i="11"/>
  <c r="AE22" i="11"/>
  <c r="AE21" i="11"/>
  <c r="AE13" i="11"/>
  <c r="AI25" i="11"/>
  <c r="N15" i="1"/>
  <c r="I20" i="1"/>
  <c r="P20" i="1"/>
  <c r="AE12" i="11"/>
  <c r="R7" i="9"/>
  <c r="AI27" i="11"/>
  <c r="AE28" i="11"/>
  <c r="AI14" i="12"/>
  <c r="M16" i="9"/>
  <c r="AE15" i="11"/>
  <c r="AI24" i="12"/>
  <c r="AI24" i="11"/>
  <c r="AI17" i="11"/>
  <c r="AI20" i="11"/>
  <c r="AE15" i="12"/>
  <c r="AI13" i="12"/>
  <c r="AI11" i="11"/>
  <c r="J20" i="1"/>
  <c r="AI11" i="12"/>
  <c r="AE22" i="12"/>
  <c r="P14" i="1"/>
  <c r="M15" i="1"/>
  <c r="AI19" i="12"/>
  <c r="AI28" i="12"/>
  <c r="AI17" i="12"/>
  <c r="AE10" i="12"/>
  <c r="AI8" i="12"/>
  <c r="AE12" i="12"/>
  <c r="L26" i="10"/>
  <c r="AE20" i="12"/>
  <c r="AE26" i="12"/>
  <c r="AI7" i="12"/>
  <c r="L23" i="10"/>
  <c r="AE25" i="12"/>
  <c r="AI9" i="12"/>
  <c r="AJ23" i="11"/>
  <c r="AF23" i="11"/>
  <c r="Q10" i="10"/>
  <c r="L10" i="10"/>
  <c r="R21" i="10"/>
  <c r="M21" i="10"/>
  <c r="T9" i="9"/>
  <c r="O9" i="9"/>
  <c r="AJ15" i="11"/>
  <c r="AF15" i="11"/>
  <c r="AF8" i="11"/>
  <c r="AJ8" i="11"/>
  <c r="AJ10" i="11"/>
  <c r="AF10" i="11"/>
  <c r="N7" i="10"/>
  <c r="S7" i="10"/>
  <c r="N14" i="10"/>
  <c r="S14" i="10"/>
  <c r="S10" i="10"/>
  <c r="N10" i="10"/>
  <c r="AF9" i="12"/>
  <c r="AH9" i="12" s="1"/>
  <c r="AJ9" i="12"/>
  <c r="AJ12" i="12"/>
  <c r="AF12" i="12"/>
  <c r="N11" i="9"/>
  <c r="S11" i="9"/>
  <c r="S8" i="9"/>
  <c r="N8" i="9"/>
  <c r="Q17" i="10"/>
  <c r="L17" i="10"/>
  <c r="Q19" i="10"/>
  <c r="L19" i="10"/>
  <c r="M22" i="10"/>
  <c r="R22" i="10"/>
  <c r="R9" i="10"/>
  <c r="M9" i="10"/>
  <c r="M13" i="10"/>
  <c r="R13" i="10"/>
  <c r="V18" i="8"/>
  <c r="Q18" i="8"/>
  <c r="Q17" i="8"/>
  <c r="V17" i="8"/>
  <c r="AG16" i="11"/>
  <c r="AK16" i="11"/>
  <c r="AK24" i="11"/>
  <c r="AG24" i="11"/>
  <c r="AG11" i="11"/>
  <c r="AK11" i="11"/>
  <c r="U14" i="8"/>
  <c r="P14" i="8"/>
  <c r="T7" i="9"/>
  <c r="O7" i="9"/>
  <c r="AF8" i="13"/>
  <c r="AJ8" i="13"/>
  <c r="AK8" i="12"/>
  <c r="AG8" i="12"/>
  <c r="AK21" i="12"/>
  <c r="AG21" i="12"/>
  <c r="S15" i="10"/>
  <c r="N15" i="10"/>
  <c r="S7" i="9"/>
  <c r="N7" i="9"/>
  <c r="P15" i="8"/>
  <c r="U15" i="8"/>
  <c r="AJ26" i="11"/>
  <c r="AF26" i="11"/>
  <c r="AJ19" i="11"/>
  <c r="AF19" i="11"/>
  <c r="AF16" i="11"/>
  <c r="AJ16" i="11"/>
  <c r="N20" i="10"/>
  <c r="S20" i="10"/>
  <c r="N24" i="10"/>
  <c r="S24" i="10"/>
  <c r="AF14" i="12"/>
  <c r="AJ14" i="12"/>
  <c r="AF23" i="12"/>
  <c r="AJ23" i="12"/>
  <c r="AJ7" i="12"/>
  <c r="AF7" i="12"/>
  <c r="S15" i="9"/>
  <c r="N15" i="9"/>
  <c r="L7" i="10"/>
  <c r="Q7" i="10"/>
  <c r="Q11" i="10"/>
  <c r="L11" i="10"/>
  <c r="R23" i="10"/>
  <c r="M23" i="10"/>
  <c r="R11" i="10"/>
  <c r="M11" i="10"/>
  <c r="V13" i="8"/>
  <c r="Q13" i="8"/>
  <c r="V12" i="8"/>
  <c r="Q12" i="8"/>
  <c r="AG22" i="11"/>
  <c r="AK22" i="11"/>
  <c r="AG8" i="11"/>
  <c r="AH8" i="11" s="1"/>
  <c r="AK8" i="11"/>
  <c r="P17" i="8"/>
  <c r="U17" i="8"/>
  <c r="U13" i="8"/>
  <c r="P13" i="8"/>
  <c r="T8" i="9"/>
  <c r="O8" i="9"/>
  <c r="AG18" i="12"/>
  <c r="AK18" i="12"/>
  <c r="AG15" i="12"/>
  <c r="AK15" i="12"/>
  <c r="AG16" i="12"/>
  <c r="AK16" i="12"/>
  <c r="AF10" i="12"/>
  <c r="AJ10" i="12"/>
  <c r="R17" i="10"/>
  <c r="M17" i="10"/>
  <c r="AG13" i="11"/>
  <c r="AK13" i="11"/>
  <c r="AG13" i="12"/>
  <c r="AK13" i="12"/>
  <c r="AE16" i="12"/>
  <c r="AF24" i="11"/>
  <c r="AJ24" i="11"/>
  <c r="AJ25" i="11"/>
  <c r="AF25" i="11"/>
  <c r="AF27" i="11"/>
  <c r="AJ27" i="11"/>
  <c r="S12" i="10"/>
  <c r="N12" i="10"/>
  <c r="N21" i="10"/>
  <c r="S21" i="10"/>
  <c r="AJ18" i="12"/>
  <c r="AF18" i="12"/>
  <c r="AJ25" i="12"/>
  <c r="AF25" i="12"/>
  <c r="AJ28" i="12"/>
  <c r="AF28" i="12"/>
  <c r="N13" i="9"/>
  <c r="S13" i="9"/>
  <c r="L14" i="10"/>
  <c r="Q14" i="10"/>
  <c r="L15" i="10"/>
  <c r="Q15" i="10"/>
  <c r="R15" i="10"/>
  <c r="M15" i="10"/>
  <c r="M7" i="10"/>
  <c r="R7" i="10"/>
  <c r="Q11" i="8"/>
  <c r="V11" i="8"/>
  <c r="V8" i="8"/>
  <c r="Q8" i="8"/>
  <c r="AK25" i="11"/>
  <c r="AG25" i="11"/>
  <c r="AG26" i="11"/>
  <c r="AK26" i="11"/>
  <c r="U7" i="8"/>
  <c r="P7" i="8"/>
  <c r="U8" i="8"/>
  <c r="P8" i="8"/>
  <c r="O11" i="9"/>
  <c r="T11" i="9"/>
  <c r="AK24" i="12"/>
  <c r="AG24" i="12"/>
  <c r="AG14" i="12"/>
  <c r="AK14" i="12"/>
  <c r="AG11" i="12"/>
  <c r="AK11" i="12"/>
  <c r="S22" i="10"/>
  <c r="N22" i="10"/>
  <c r="L9" i="10"/>
  <c r="Q9" i="10"/>
  <c r="V15" i="8"/>
  <c r="Q15" i="8"/>
  <c r="AE18" i="12"/>
  <c r="AJ17" i="11"/>
  <c r="AF17" i="11"/>
  <c r="AJ28" i="11"/>
  <c r="AF28" i="11"/>
  <c r="AF7" i="11"/>
  <c r="AJ7" i="11"/>
  <c r="N16" i="10"/>
  <c r="S16" i="10"/>
  <c r="S13" i="10"/>
  <c r="N13" i="10"/>
  <c r="AJ8" i="12"/>
  <c r="AF8" i="12"/>
  <c r="AH8" i="12" s="1"/>
  <c r="AF19" i="12"/>
  <c r="AJ19" i="12"/>
  <c r="AJ24" i="12"/>
  <c r="AF24" i="12"/>
  <c r="N14" i="9"/>
  <c r="S14" i="9"/>
  <c r="Q21" i="10"/>
  <c r="L21" i="10"/>
  <c r="L22" i="10"/>
  <c r="Q22" i="10"/>
  <c r="Q16" i="10"/>
  <c r="L16" i="10"/>
  <c r="R20" i="10"/>
  <c r="M20" i="10"/>
  <c r="R24" i="10"/>
  <c r="M24" i="10"/>
  <c r="Q14" i="8"/>
  <c r="V14" i="8"/>
  <c r="AK9" i="11"/>
  <c r="AG9" i="11"/>
  <c r="AK18" i="11"/>
  <c r="AG18" i="11"/>
  <c r="AG23" i="11"/>
  <c r="AK23" i="11"/>
  <c r="P12" i="8"/>
  <c r="U12" i="8"/>
  <c r="P11" i="8"/>
  <c r="U11" i="8"/>
  <c r="T10" i="9"/>
  <c r="O10" i="9"/>
  <c r="AK19" i="12"/>
  <c r="AG19" i="12"/>
  <c r="AK26" i="12"/>
  <c r="AG26" i="12"/>
  <c r="AG9" i="12"/>
  <c r="AK9" i="12"/>
  <c r="AF13" i="11"/>
  <c r="AJ13" i="11"/>
  <c r="S12" i="9"/>
  <c r="N12" i="9"/>
  <c r="V16" i="8"/>
  <c r="Q16" i="8"/>
  <c r="AJ20" i="11"/>
  <c r="AF20" i="11"/>
  <c r="AF21" i="11"/>
  <c r="AJ21" i="11"/>
  <c r="AF14" i="11"/>
  <c r="AJ14" i="11"/>
  <c r="N25" i="10"/>
  <c r="S25" i="10"/>
  <c r="N11" i="10"/>
  <c r="S11" i="10"/>
  <c r="AJ21" i="12"/>
  <c r="AF21" i="12"/>
  <c r="AJ16" i="12"/>
  <c r="AF16" i="12"/>
  <c r="AF17" i="12"/>
  <c r="AJ17" i="12"/>
  <c r="S16" i="9"/>
  <c r="N16" i="9"/>
  <c r="L13" i="10"/>
  <c r="Q13" i="10"/>
  <c r="L20" i="10"/>
  <c r="Q20" i="10"/>
  <c r="Q8" i="10"/>
  <c r="L8" i="10"/>
  <c r="R12" i="10"/>
  <c r="M12" i="10"/>
  <c r="R16" i="10"/>
  <c r="M16" i="10"/>
  <c r="Q9" i="8"/>
  <c r="V9" i="8"/>
  <c r="AK14" i="11"/>
  <c r="AG14" i="11"/>
  <c r="AG12" i="11"/>
  <c r="AK12" i="11"/>
  <c r="AK27" i="11"/>
  <c r="AG27" i="11"/>
  <c r="P9" i="8"/>
  <c r="U9" i="8"/>
  <c r="P10" i="8"/>
  <c r="U10" i="8"/>
  <c r="O14" i="9"/>
  <c r="T14" i="9"/>
  <c r="AG17" i="12"/>
  <c r="AK17" i="12"/>
  <c r="AG27" i="12"/>
  <c r="AK27" i="12"/>
  <c r="AK20" i="12"/>
  <c r="AG20" i="12"/>
  <c r="AJ12" i="11"/>
  <c r="AF12" i="11"/>
  <c r="AF20" i="12"/>
  <c r="AJ20" i="12"/>
  <c r="R10" i="10"/>
  <c r="M10" i="10"/>
  <c r="AK7" i="11"/>
  <c r="AG7" i="11"/>
  <c r="AG22" i="12"/>
  <c r="AK22" i="12"/>
  <c r="AK7" i="13"/>
  <c r="AG7" i="13"/>
  <c r="AJ18" i="11"/>
  <c r="AF18" i="11"/>
  <c r="AF22" i="11"/>
  <c r="AJ22" i="11"/>
  <c r="N19" i="10"/>
  <c r="S19" i="10"/>
  <c r="S17" i="10"/>
  <c r="N17" i="10"/>
  <c r="N8" i="10"/>
  <c r="S8" i="10"/>
  <c r="AJ27" i="12"/>
  <c r="AF27" i="12"/>
  <c r="AF11" i="12"/>
  <c r="AJ11" i="12"/>
  <c r="AF15" i="12"/>
  <c r="AJ15" i="12"/>
  <c r="N9" i="9"/>
  <c r="S9" i="9"/>
  <c r="L12" i="10"/>
  <c r="Q12" i="10"/>
  <c r="AE7" i="13"/>
  <c r="AI7" i="13"/>
  <c r="R26" i="10"/>
  <c r="M26" i="10"/>
  <c r="R14" i="10"/>
  <c r="M14" i="10"/>
  <c r="R8" i="10"/>
  <c r="M8" i="10"/>
  <c r="Q7" i="8"/>
  <c r="V7" i="8"/>
  <c r="AG17" i="11"/>
  <c r="AK17" i="11"/>
  <c r="AG19" i="11"/>
  <c r="AK19" i="11"/>
  <c r="AG15" i="11"/>
  <c r="AK15" i="11"/>
  <c r="P16" i="8"/>
  <c r="U16" i="8"/>
  <c r="O16" i="9"/>
  <c r="T16" i="9"/>
  <c r="T15" i="9"/>
  <c r="O15" i="9"/>
  <c r="AG7" i="12"/>
  <c r="AK7" i="12"/>
  <c r="AK25" i="12"/>
  <c r="AG25" i="12"/>
  <c r="AG28" i="12"/>
  <c r="AK28" i="12"/>
  <c r="N18" i="10"/>
  <c r="S18" i="10"/>
  <c r="AK10" i="11"/>
  <c r="AG10" i="11"/>
  <c r="AJ7" i="13"/>
  <c r="AF7" i="13"/>
  <c r="AG8" i="13"/>
  <c r="AK8" i="13"/>
  <c r="AJ9" i="11"/>
  <c r="AF9" i="11"/>
  <c r="AF11" i="11"/>
  <c r="AJ11" i="11"/>
  <c r="S23" i="10"/>
  <c r="N23" i="10"/>
  <c r="S9" i="10"/>
  <c r="N9" i="10"/>
  <c r="S26" i="10"/>
  <c r="N26" i="10"/>
  <c r="AF22" i="12"/>
  <c r="AJ22" i="12"/>
  <c r="AF26" i="12"/>
  <c r="AJ26" i="12"/>
  <c r="AF13" i="12"/>
  <c r="AJ13" i="12"/>
  <c r="S10" i="9"/>
  <c r="N10" i="9"/>
  <c r="L18" i="10"/>
  <c r="Q18" i="10"/>
  <c r="AE8" i="13"/>
  <c r="AI8" i="13"/>
  <c r="R18" i="10"/>
  <c r="M18" i="10"/>
  <c r="M25" i="10"/>
  <c r="R25" i="10"/>
  <c r="R19" i="10"/>
  <c r="M19" i="10"/>
  <c r="V10" i="8"/>
  <c r="Q10" i="8"/>
  <c r="AG20" i="11"/>
  <c r="AK20" i="11"/>
  <c r="AG28" i="11"/>
  <c r="AK28" i="11"/>
  <c r="AK21" i="11"/>
  <c r="AG21" i="11"/>
  <c r="P18" i="8"/>
  <c r="U18" i="8"/>
  <c r="T12" i="9"/>
  <c r="O12" i="9"/>
  <c r="T13" i="9"/>
  <c r="O13" i="9"/>
  <c r="AG12" i="12"/>
  <c r="AK12" i="12"/>
  <c r="AK23" i="12"/>
  <c r="AG23" i="12"/>
  <c r="AH23" i="12" s="1"/>
  <c r="AG10" i="12"/>
  <c r="AK10" i="12"/>
  <c r="O10" i="8"/>
  <c r="T10" i="8"/>
  <c r="T8" i="8"/>
  <c r="O8" i="8"/>
  <c r="O13" i="8"/>
  <c r="T13" i="8"/>
  <c r="O11" i="8"/>
  <c r="T11" i="8"/>
  <c r="T15" i="8"/>
  <c r="O15" i="8"/>
  <c r="T12" i="8"/>
  <c r="O12" i="8"/>
  <c r="T18" i="8"/>
  <c r="O18" i="8"/>
  <c r="O17" i="8"/>
  <c r="T17" i="8"/>
  <c r="L24" i="10"/>
  <c r="O7" i="8"/>
  <c r="T7" i="8"/>
  <c r="T9" i="8"/>
  <c r="O9" i="8"/>
  <c r="T16" i="8"/>
  <c r="O16" i="8"/>
  <c r="T14" i="8"/>
  <c r="O14" i="8"/>
  <c r="AE16" i="4"/>
  <c r="AI16" i="4"/>
  <c r="AG17" i="4"/>
  <c r="AK17" i="4"/>
  <c r="AJ17" i="4"/>
  <c r="AF17" i="4"/>
  <c r="AE20" i="4"/>
  <c r="AK16" i="4"/>
  <c r="AF16" i="4"/>
  <c r="AJ16" i="4"/>
  <c r="AG16" i="4"/>
  <c r="AG13" i="4"/>
  <c r="AK13" i="4"/>
  <c r="AF13" i="4"/>
  <c r="AJ13" i="4"/>
  <c r="AE19" i="4"/>
  <c r="AI24" i="4"/>
  <c r="AF23" i="4"/>
  <c r="AK23" i="4"/>
  <c r="AJ23" i="4"/>
  <c r="AG23" i="4"/>
  <c r="AF20" i="4"/>
  <c r="AG20" i="4"/>
  <c r="AJ20" i="4"/>
  <c r="AK20" i="4"/>
  <c r="AE24" i="4"/>
  <c r="AI23" i="4"/>
  <c r="AE23" i="4"/>
  <c r="AF8" i="4"/>
  <c r="AJ8" i="4"/>
  <c r="AG8" i="4"/>
  <c r="AK8" i="4"/>
  <c r="AE17" i="4"/>
  <c r="AE13" i="4"/>
  <c r="AI8" i="4"/>
  <c r="AJ7" i="4"/>
  <c r="AF7" i="4"/>
  <c r="AK7" i="4"/>
  <c r="AG7" i="4"/>
  <c r="AJ14" i="4"/>
  <c r="AK14" i="4"/>
  <c r="AF14" i="4"/>
  <c r="AG14" i="4"/>
  <c r="AK19" i="4"/>
  <c r="AF19" i="4"/>
  <c r="AJ19" i="4"/>
  <c r="AG19" i="4"/>
  <c r="AF24" i="4"/>
  <c r="AK24" i="4"/>
  <c r="AJ24" i="4"/>
  <c r="AG24" i="4"/>
  <c r="AI17" i="4"/>
  <c r="AI13" i="4"/>
  <c r="AI14" i="4"/>
  <c r="AE8" i="4"/>
  <c r="AI7" i="4"/>
  <c r="AE7" i="4"/>
  <c r="J11" i="4"/>
  <c r="K11" i="4" s="1"/>
  <c r="J10" i="4"/>
  <c r="K10" i="4" s="1"/>
  <c r="J25" i="4"/>
  <c r="K25" i="4" s="1"/>
  <c r="J26" i="4"/>
  <c r="K26" i="4" s="1"/>
  <c r="J15" i="4"/>
  <c r="K15" i="4" s="1"/>
  <c r="J28" i="4"/>
  <c r="K28" i="4" s="1"/>
  <c r="J27" i="4"/>
  <c r="K27" i="4" s="1"/>
  <c r="J21" i="4"/>
  <c r="K21" i="4" s="1"/>
  <c r="J9" i="4"/>
  <c r="K9" i="4" s="1"/>
  <c r="J18" i="4"/>
  <c r="K18" i="4" s="1"/>
  <c r="J12" i="4"/>
  <c r="K12" i="4" s="1"/>
  <c r="J22" i="4"/>
  <c r="K22" i="4" s="1"/>
  <c r="U12" i="9" l="1"/>
  <c r="AL23" i="12"/>
  <c r="U7" i="9"/>
  <c r="AH16" i="11"/>
  <c r="AL10" i="11"/>
  <c r="AH9" i="11"/>
  <c r="P15" i="9"/>
  <c r="W13" i="8"/>
  <c r="R11" i="8"/>
  <c r="U8" i="9"/>
  <c r="AL28" i="12"/>
  <c r="P7" i="9"/>
  <c r="AL16" i="11"/>
  <c r="AH10" i="11"/>
  <c r="P12" i="9"/>
  <c r="AL26" i="12"/>
  <c r="AL8" i="12"/>
  <c r="AH15" i="12"/>
  <c r="AH13" i="11"/>
  <c r="O24" i="10"/>
  <c r="U13" i="9"/>
  <c r="AH28" i="11"/>
  <c r="T26" i="10"/>
  <c r="R14" i="8"/>
  <c r="W15" i="8"/>
  <c r="O25" i="10"/>
  <c r="AH26" i="11"/>
  <c r="AH25" i="12"/>
  <c r="AL11" i="12"/>
  <c r="P10" i="9"/>
  <c r="U10" i="9"/>
  <c r="AL13" i="12"/>
  <c r="AH18" i="11"/>
  <c r="AL24" i="11"/>
  <c r="AL16" i="12"/>
  <c r="AH24" i="11"/>
  <c r="AH13" i="12"/>
  <c r="W9" i="8"/>
  <c r="R8" i="8"/>
  <c r="AL20" i="12"/>
  <c r="AH21" i="12"/>
  <c r="T24" i="10"/>
  <c r="AH28" i="12"/>
  <c r="AH14" i="12"/>
  <c r="AH19" i="11"/>
  <c r="AL24" i="12"/>
  <c r="AH17" i="11"/>
  <c r="T21" i="10"/>
  <c r="AL12" i="11"/>
  <c r="AL23" i="11"/>
  <c r="W16" i="8"/>
  <c r="AH26" i="12"/>
  <c r="O12" i="10"/>
  <c r="AL27" i="12"/>
  <c r="AH22" i="11"/>
  <c r="AH7" i="11"/>
  <c r="U16" i="9"/>
  <c r="R12" i="8"/>
  <c r="AL12" i="12"/>
  <c r="AL22" i="12"/>
  <c r="U9" i="9"/>
  <c r="AH20" i="12"/>
  <c r="AL17" i="12"/>
  <c r="AL9" i="12"/>
  <c r="AL8" i="11"/>
  <c r="AH21" i="11"/>
  <c r="AL11" i="11"/>
  <c r="W12" i="8"/>
  <c r="AH12" i="12"/>
  <c r="AL21" i="11"/>
  <c r="AH22" i="12"/>
  <c r="AH11" i="11"/>
  <c r="P9" i="9"/>
  <c r="R9" i="8"/>
  <c r="R13" i="8"/>
  <c r="AH27" i="12"/>
  <c r="AH23" i="11"/>
  <c r="W7" i="8"/>
  <c r="P16" i="9"/>
  <c r="AL26" i="11"/>
  <c r="P11" i="9"/>
  <c r="AL28" i="11"/>
  <c r="O23" i="10"/>
  <c r="AH7" i="12"/>
  <c r="AL9" i="11"/>
  <c r="AL13" i="11"/>
  <c r="AH10" i="12"/>
  <c r="W11" i="8"/>
  <c r="AL15" i="12"/>
  <c r="AH17" i="12"/>
  <c r="R10" i="8"/>
  <c r="AL14" i="11"/>
  <c r="AH24" i="12"/>
  <c r="AL25" i="12"/>
  <c r="AL19" i="11"/>
  <c r="P8" i="9"/>
  <c r="T25" i="10"/>
  <c r="AL25" i="11"/>
  <c r="R18" i="8"/>
  <c r="AH20" i="11"/>
  <c r="AH19" i="12"/>
  <c r="W14" i="8"/>
  <c r="AH11" i="12"/>
  <c r="AL20" i="11"/>
  <c r="AL27" i="11"/>
  <c r="AL10" i="12"/>
  <c r="U15" i="9"/>
  <c r="U11" i="9"/>
  <c r="AH15" i="11"/>
  <c r="T10" i="10"/>
  <c r="U14" i="9"/>
  <c r="T23" i="10"/>
  <c r="AL7" i="12"/>
  <c r="AL18" i="11"/>
  <c r="P14" i="9"/>
  <c r="AL17" i="11"/>
  <c r="AL18" i="12"/>
  <c r="AL8" i="13"/>
  <c r="O20" i="10"/>
  <c r="AH14" i="11"/>
  <c r="O16" i="10"/>
  <c r="AL15" i="11"/>
  <c r="W8" i="8"/>
  <c r="T18" i="10"/>
  <c r="O26" i="10"/>
  <c r="AH12" i="11"/>
  <c r="AH27" i="11"/>
  <c r="P13" i="9"/>
  <c r="AL14" i="12"/>
  <c r="AL22" i="11"/>
  <c r="R7" i="8"/>
  <c r="O13" i="10"/>
  <c r="AL21" i="12"/>
  <c r="AL19" i="12"/>
  <c r="AL7" i="11"/>
  <c r="AH25" i="11"/>
  <c r="O7" i="10"/>
  <c r="R16" i="8"/>
  <c r="R17" i="8"/>
  <c r="O8" i="10"/>
  <c r="T16" i="10"/>
  <c r="O11" i="10"/>
  <c r="O19" i="10"/>
  <c r="T8" i="10"/>
  <c r="T22" i="10"/>
  <c r="T15" i="10"/>
  <c r="T11" i="10"/>
  <c r="T19" i="10"/>
  <c r="W18" i="8"/>
  <c r="AH8" i="13"/>
  <c r="T20" i="10"/>
  <c r="O22" i="10"/>
  <c r="T9" i="10"/>
  <c r="O15" i="10"/>
  <c r="O17" i="10"/>
  <c r="W17" i="8"/>
  <c r="AL7" i="13"/>
  <c r="O21" i="10"/>
  <c r="O9" i="10"/>
  <c r="T14" i="10"/>
  <c r="AH16" i="12"/>
  <c r="T7" i="10"/>
  <c r="T17" i="10"/>
  <c r="AH7" i="13"/>
  <c r="T13" i="10"/>
  <c r="O14" i="10"/>
  <c r="R15" i="8"/>
  <c r="W10" i="8"/>
  <c r="O18" i="10"/>
  <c r="T12" i="10"/>
  <c r="AH18" i="12"/>
  <c r="O10" i="10"/>
  <c r="AL14" i="4"/>
  <c r="AL20" i="4"/>
  <c r="AH8" i="4"/>
  <c r="AH13" i="4"/>
  <c r="AH17" i="4"/>
  <c r="AL8" i="4"/>
  <c r="AH24" i="4"/>
  <c r="AL16" i="4"/>
  <c r="AH7" i="4"/>
  <c r="AH19" i="4"/>
  <c r="AH14" i="4"/>
  <c r="AL24" i="4"/>
  <c r="AL7" i="4"/>
  <c r="AL17" i="4"/>
  <c r="AH20" i="4"/>
  <c r="AH16" i="4"/>
  <c r="AL23" i="4"/>
  <c r="AL13" i="4"/>
  <c r="AH23" i="4"/>
  <c r="AL19" i="4"/>
  <c r="AJ15" i="4"/>
  <c r="AG15" i="4"/>
  <c r="AK15" i="4"/>
  <c r="AF15" i="4"/>
  <c r="AE15" i="4"/>
  <c r="AI15" i="4"/>
  <c r="AJ22" i="4"/>
  <c r="AF22" i="4"/>
  <c r="AG22" i="4"/>
  <c r="AK22" i="4"/>
  <c r="AE22" i="4"/>
  <c r="AI22" i="4"/>
  <c r="AJ21" i="4"/>
  <c r="AG21" i="4"/>
  <c r="AK21" i="4"/>
  <c r="AF21" i="4"/>
  <c r="AE21" i="4"/>
  <c r="AI21" i="4"/>
  <c r="AG27" i="4"/>
  <c r="AJ27" i="4"/>
  <c r="AK27" i="4"/>
  <c r="AF27" i="4"/>
  <c r="AI27" i="4"/>
  <c r="AE27" i="4"/>
  <c r="AK25" i="4"/>
  <c r="AG25" i="4"/>
  <c r="AJ25" i="4"/>
  <c r="AF25" i="4"/>
  <c r="AE25" i="4"/>
  <c r="AI25" i="4"/>
  <c r="AJ18" i="4"/>
  <c r="AG18" i="4"/>
  <c r="AF18" i="4"/>
  <c r="AK18" i="4"/>
  <c r="AI18" i="4"/>
  <c r="AE18" i="4"/>
  <c r="AG10" i="4"/>
  <c r="AJ10" i="4"/>
  <c r="AF10" i="4"/>
  <c r="AK10" i="4"/>
  <c r="AE10" i="4"/>
  <c r="AI10" i="4"/>
  <c r="AG28" i="4"/>
  <c r="AK28" i="4"/>
  <c r="AF28" i="4"/>
  <c r="AJ28" i="4"/>
  <c r="AE28" i="4"/>
  <c r="AI28" i="4"/>
  <c r="AK26" i="4"/>
  <c r="AJ26" i="4"/>
  <c r="AF26" i="4"/>
  <c r="AG26" i="4"/>
  <c r="AE26" i="4"/>
  <c r="AI26" i="4"/>
  <c r="AF12" i="4"/>
  <c r="AG12" i="4"/>
  <c r="AK12" i="4"/>
  <c r="AJ12" i="4"/>
  <c r="AE12" i="4"/>
  <c r="AI12" i="4"/>
  <c r="AG9" i="4"/>
  <c r="AK9" i="4"/>
  <c r="AF9" i="4"/>
  <c r="AJ9" i="4"/>
  <c r="AI9" i="4"/>
  <c r="AE9" i="4"/>
  <c r="AF11" i="4"/>
  <c r="AG11" i="4"/>
  <c r="AJ11" i="4"/>
  <c r="AK11" i="4"/>
  <c r="AI11" i="4"/>
  <c r="AE11" i="4"/>
  <c r="AL21" i="4" l="1"/>
  <c r="AL15" i="4"/>
  <c r="AH26" i="4"/>
  <c r="AL28" i="4"/>
  <c r="AL27" i="4"/>
  <c r="AL10" i="4"/>
  <c r="AL18" i="4"/>
  <c r="AH10" i="4"/>
  <c r="AH27" i="4"/>
  <c r="AL12" i="4"/>
  <c r="AL22" i="4"/>
  <c r="AH15" i="4"/>
  <c r="AL11" i="4"/>
  <c r="AH21" i="4"/>
  <c r="AL25" i="4"/>
  <c r="AH22" i="4"/>
  <c r="AH28" i="4"/>
  <c r="AH9" i="4"/>
  <c r="AH12" i="4"/>
  <c r="AL26" i="4"/>
  <c r="AH11" i="4"/>
  <c r="AL9" i="4"/>
  <c r="AH18" i="4"/>
  <c r="AH25" i="4"/>
</calcChain>
</file>

<file path=xl/sharedStrings.xml><?xml version="1.0" encoding="utf-8"?>
<sst xmlns="http://schemas.openxmlformats.org/spreadsheetml/2006/main" count="503" uniqueCount="161">
  <si>
    <t>Domestic Service</t>
  </si>
  <si>
    <t>Empolyees</t>
  </si>
  <si>
    <t>General Service</t>
  </si>
  <si>
    <t>Large Power</t>
  </si>
  <si>
    <t>Secondary Voltage Power</t>
  </si>
  <si>
    <t>Time of Use</t>
  </si>
  <si>
    <t>Street Lights</t>
  </si>
  <si>
    <t>Customer Rate Class</t>
  </si>
  <si>
    <t>Energy Sales 
(kWh)</t>
  </si>
  <si>
    <t>Total Energy Sales</t>
  </si>
  <si>
    <t>Loss Factor</t>
  </si>
  <si>
    <t>Energy Sales Weighted by Losses
(kWh)</t>
  </si>
  <si>
    <t>Energy Rate  After Losses</t>
  </si>
  <si>
    <t>Revenue Check</t>
  </si>
  <si>
    <t>Rate Design Revenue Requirement</t>
  </si>
  <si>
    <t>Customer Charge</t>
  </si>
  <si>
    <t>Energy Charge</t>
  </si>
  <si>
    <t>Fuel Charge</t>
  </si>
  <si>
    <t>CETR</t>
  </si>
  <si>
    <t>Lookup</t>
  </si>
  <si>
    <t>Class 1</t>
  </si>
  <si>
    <t>Class 2</t>
  </si>
  <si>
    <t>Class 3</t>
  </si>
  <si>
    <t>THE BARBADOS LIGHT &amp; POWER CO. LTD.</t>
  </si>
  <si>
    <t>__</t>
  </si>
  <si>
    <t>TARIFFS</t>
  </si>
  <si>
    <t>COMPONENTS</t>
  </si>
  <si>
    <t>PROPOSED</t>
  </si>
  <si>
    <t xml:space="preserve"> INTERIM</t>
  </si>
  <si>
    <t>RATES</t>
  </si>
  <si>
    <t>Parameters</t>
  </si>
  <si>
    <t>Monthly</t>
  </si>
  <si>
    <t>Customer Charge ($/month)</t>
  </si>
  <si>
    <t>0-150kWh</t>
  </si>
  <si>
    <t>151-500kWh</t>
  </si>
  <si>
    <t>Over 500 kWh</t>
  </si>
  <si>
    <t>__DOMESTIC  SERVICE</t>
  </si>
  <si>
    <t>DOMESTIC  SERVICE</t>
  </si>
  <si>
    <t>Demand Charge ($/kVA)</t>
  </si>
  <si>
    <t>Not applicable</t>
  </si>
  <si>
    <t>---------</t>
  </si>
  <si>
    <t>Domestic_Non-Renewables_0 to 150 kWh</t>
  </si>
  <si>
    <t>Domestic</t>
  </si>
  <si>
    <t>Non-Renewables</t>
  </si>
  <si>
    <t>0 to 150 kWh</t>
  </si>
  <si>
    <t>Base Energy Charge ($/kWh)</t>
  </si>
  <si>
    <t>0-150 kWh, per kWh</t>
  </si>
  <si>
    <t>Domestic_Non-Renewables_151 to 500 kWh</t>
  </si>
  <si>
    <t>151 to 500 kWh</t>
  </si>
  <si>
    <t>Next 350 kWh, per kWh</t>
  </si>
  <si>
    <t>Domestic_Non-Renewables_501 to 1,500 kWh</t>
  </si>
  <si>
    <t>501 to 1,500 kWh</t>
  </si>
  <si>
    <t>Next 1,000 kWh, per kWh</t>
  </si>
  <si>
    <t>Domestic_Non-Renewables_&gt; 1,500 kWh</t>
  </si>
  <si>
    <t>&gt; 1,500 kWh</t>
  </si>
  <si>
    <t>Over 1,500 kWh, per kWh.</t>
  </si>
  <si>
    <t>Employee</t>
  </si>
  <si>
    <t>__EMPLOYEE</t>
  </si>
  <si>
    <t>EMPLOYEE</t>
  </si>
  <si>
    <t>Employee_Non-Renewables_0 to 150 kWh</t>
  </si>
  <si>
    <t>Employee_Non-Renewables_151 to 500 kWh</t>
  </si>
  <si>
    <t>Employee_Non-Renewables_501 to 1,500 kWh</t>
  </si>
  <si>
    <t>Employee_Non-Renewables_&gt; 1,500 kWh</t>
  </si>
  <si>
    <t>Over 1,500 kWh, per kWh</t>
  </si>
  <si>
    <t>0-100kWh</t>
  </si>
  <si>
    <t>101-500kWh</t>
  </si>
  <si>
    <t>__GENERAL  SERVICE</t>
  </si>
  <si>
    <t>GENERAL  SERVICE</t>
  </si>
  <si>
    <t>General Service_Non-Renewables_0 to 100 kWh</t>
  </si>
  <si>
    <t>0 to 100 kWh</t>
  </si>
  <si>
    <t>0-100 kWh, per kWh</t>
  </si>
  <si>
    <t>General Service_Non-Renewables_101 to 500 kWh</t>
  </si>
  <si>
    <t>101 to 500 kWh</t>
  </si>
  <si>
    <t>Next 400 kWh, per kWh</t>
  </si>
  <si>
    <t>General Service_Non-Renewables_501 to 1,500 kWh</t>
  </si>
  <si>
    <t>General Service_Non-Renewables_&gt; 1,500 kWh</t>
  </si>
  <si>
    <t>Each service</t>
  </si>
  <si>
    <t>__SECONDARY VOLTAGE POWER</t>
  </si>
  <si>
    <t>SECONDARY VOLTAGE POWER</t>
  </si>
  <si>
    <t>per kVA</t>
  </si>
  <si>
    <t>Secondary Voltage_Non-Renewables_No Bands</t>
  </si>
  <si>
    <t>Secondary Voltage</t>
  </si>
  <si>
    <t>No Bands</t>
  </si>
  <si>
    <t>All kWh, per kWh.</t>
  </si>
  <si>
    <t>__LARGE POWER</t>
  </si>
  <si>
    <t>LARGE POWER</t>
  </si>
  <si>
    <t>Large Power_Non-Renewables_No Bands</t>
  </si>
  <si>
    <t>Time of Use Pilot Tariff</t>
  </si>
  <si>
    <t>On-Peak, per kWh.</t>
  </si>
  <si>
    <t>Off-Peak, per kWh.</t>
  </si>
  <si>
    <t>Streetlights</t>
  </si>
  <si>
    <t>Each 50 Watt HPS light</t>
  </si>
  <si>
    <t>Each 70 Watt HPS light</t>
  </si>
  <si>
    <t>Each 100 Watt HPS light</t>
  </si>
  <si>
    <t>CETR ($/kWh)</t>
  </si>
  <si>
    <t>Total Bill</t>
  </si>
  <si>
    <t>Usage (kWh)</t>
  </si>
  <si>
    <t>Cumulative Proportion of Customers</t>
  </si>
  <si>
    <t>Base Rate</t>
  </si>
  <si>
    <t>Sub Total</t>
  </si>
  <si>
    <t>VAT</t>
  </si>
  <si>
    <t xml:space="preserve"> Proposed 
$ Change</t>
  </si>
  <si>
    <t>Proposed 
% Change</t>
  </si>
  <si>
    <t>Customers' Bill at Current Interim Rates</t>
  </si>
  <si>
    <t>Current &amp; Proposed Rates</t>
  </si>
  <si>
    <t>Tariff Blocks</t>
  </si>
  <si>
    <t>Energy Charge ($/kWh)</t>
  </si>
  <si>
    <t>VAT Charge</t>
  </si>
  <si>
    <t>Fuel Charge ($/kWh)</t>
  </si>
  <si>
    <t xml:space="preserve">From </t>
  </si>
  <si>
    <t>To</t>
  </si>
  <si>
    <t>Next</t>
  </si>
  <si>
    <t>Current Rates</t>
  </si>
  <si>
    <t>Customers' Bill at Proposed CETR Rate</t>
  </si>
  <si>
    <t>Demand Charge
($/kVA)</t>
  </si>
  <si>
    <t>Customer Charge:</t>
  </si>
  <si>
    <t>Monthly Charge</t>
  </si>
  <si>
    <t>ON-PEAK</t>
  </si>
  <si>
    <t>OFF-PEAK</t>
  </si>
  <si>
    <t>All Demand</t>
  </si>
  <si>
    <t>Fuel Charge:</t>
  </si>
  <si>
    <t>Base Energy Charge: ($/kWh)</t>
  </si>
  <si>
    <t>Demand Charge:($/kVA)</t>
  </si>
  <si>
    <t>kWh/kVA Band</t>
  </si>
  <si>
    <t>Under 25 kWh/KVA</t>
  </si>
  <si>
    <t>25 - 50 kWh/KVA</t>
  </si>
  <si>
    <t>50 - 100 kWh/KVA</t>
  </si>
  <si>
    <t>100 - 200 kWh/KVA</t>
  </si>
  <si>
    <t>200 - 300 kWh/KVA</t>
  </si>
  <si>
    <t>300- 400 kWh/KVA</t>
  </si>
  <si>
    <t>400- 500 kWh/KVA</t>
  </si>
  <si>
    <t>500- 600 kWh/KVA</t>
  </si>
  <si>
    <t>600- 700 kWh/KVA</t>
  </si>
  <si>
    <t>700- 800 kWh/KVA</t>
  </si>
  <si>
    <t>800- 900 kWh/KVA</t>
  </si>
  <si>
    <t>Over 900 kWh/KVA</t>
  </si>
  <si>
    <t>Number of Customers</t>
  </si>
  <si>
    <t>Share of Customers</t>
  </si>
  <si>
    <t>Average Monthly Demand (kVA)</t>
  </si>
  <si>
    <t>Average Monthly Usage (kWh)</t>
  </si>
  <si>
    <t>Current Bill</t>
  </si>
  <si>
    <t>$ Change Impact</t>
  </si>
  <si>
    <t>% Change Impact</t>
  </si>
  <si>
    <t xml:space="preserve">kWh/kVA </t>
  </si>
  <si>
    <t>Average kWh Peak</t>
  </si>
  <si>
    <t>Average kWh Off Peak</t>
  </si>
  <si>
    <t>LED 21 Watts/bulb</t>
  </si>
  <si>
    <t>LED 49 Watts/bulb</t>
  </si>
  <si>
    <t>Rounding Error</t>
  </si>
  <si>
    <t>CETR Rate per Revenue Requirement Year 
($/kWh)</t>
  </si>
  <si>
    <t>Current Charges</t>
  </si>
  <si>
    <t>CETR Rate</t>
  </si>
  <si>
    <t>CETR Bill Impacts</t>
  </si>
  <si>
    <t>Current</t>
  </si>
  <si>
    <t>Barbados Light &amp; Power</t>
  </si>
  <si>
    <t>Clean Energy Transistion Plan Project 1</t>
  </si>
  <si>
    <t>Battery Energy Storage Systems</t>
  </si>
  <si>
    <t>Total Investments</t>
  </si>
  <si>
    <t>Rate Design</t>
  </si>
  <si>
    <t>CETR Rate  Before Losses</t>
  </si>
  <si>
    <t>CETR Rate  After Losses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</si>
</sst>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0_);_(&quot;$&quot;* \(#,##0.0000\);_(&quot;$&quot;* &quot;-&quot;??_);_(@_)"/>
    <numFmt numFmtId="165" formatCode="0.0%"/>
    <numFmt numFmtId="166" formatCode="_(&quot;$&quot;* #,##0.00000_);_(&quot;$&quot;* \(#,##0.00000\);_(&quot;$&quot;* &quot;-&quot;??_);_(@_)"/>
    <numFmt numFmtId="167" formatCode="_(&quot;$&quot;* #,##0.0_);_(&quot;$&quot;* \(#,##0.0\);_(&quot;$&quot;* &quot;-&quot;??_);_(@_)"/>
    <numFmt numFmtId="168" formatCode="_(&quot;$&quot;* #,##0_);_(&quot;$&quot;* \(#,##0\);_(&quot;$&quot;* &quot;-&quot;??_);_(@_)"/>
    <numFmt numFmtId="169" formatCode="&quot;$&quot;#,##0.000"/>
    <numFmt numFmtId="170" formatCode="[$-409]mmmm\-yy;@"/>
    <numFmt numFmtId="171" formatCode="&quot;$&quot;#,##0.00"/>
    <numFmt numFmtId="172" formatCode="&quot;$&quot;#,##0"/>
    <numFmt numFmtId="173" formatCode="&quot;$&quot;#,##0.0000"/>
    <numFmt numFmtId="174" formatCode="0.0000"/>
    <numFmt numFmtId="175" formatCode="_(* #,##0_);_(* \(#,##0\);_(* &quot;-&quot;??_);_(@_)"/>
    <numFmt numFmtId="176" formatCode="_(&quot;$&quot;* #,##0.00000_);_(&quot;$&quot;* \(#,##0.00000\);_(&quot;$&quot;* &quot;-&quot;?????_);_(@_)"/>
    <numFmt numFmtId="177" formatCode="_(&quot;$&quot;* #,##0.000_);_(&quot;$&quot;* \(#,##0.00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66CC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sz val="11"/>
      <color theme="2" tint="-0.499984740745262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FFFFFF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theme="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87">
    <xf numFmtId="0" fontId="0" fillId="0" borderId="0" xfId="0"/>
    <xf numFmtId="3" fontId="0" fillId="0" borderId="0" xfId="0" applyNumberFormat="1"/>
    <xf numFmtId="0" fontId="2" fillId="0" borderId="0" xfId="0" applyFont="1"/>
    <xf numFmtId="44" fontId="0" fillId="0" borderId="0" xfId="0" applyNumberFormat="1"/>
    <xf numFmtId="3" fontId="2" fillId="0" borderId="2" xfId="0" applyNumberFormat="1" applyFont="1" applyBorder="1"/>
    <xf numFmtId="164" fontId="2" fillId="0" borderId="0" xfId="0" applyNumberFormat="1" applyFont="1"/>
    <xf numFmtId="165" fontId="0" fillId="0" borderId="0" xfId="3" applyNumberFormat="1" applyFont="1"/>
    <xf numFmtId="164" fontId="0" fillId="0" borderId="0" xfId="2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/>
    <xf numFmtId="164" fontId="0" fillId="0" borderId="0" xfId="2" applyNumberFormat="1" applyFont="1" applyBorder="1"/>
    <xf numFmtId="164" fontId="0" fillId="0" borderId="0" xfId="0" applyNumberFormat="1"/>
    <xf numFmtId="168" fontId="2" fillId="2" borderId="0" xfId="2" applyNumberFormat="1" applyFont="1" applyFill="1"/>
    <xf numFmtId="0" fontId="3" fillId="3" borderId="0" xfId="0" applyFont="1" applyFill="1"/>
    <xf numFmtId="0" fontId="4" fillId="3" borderId="0" xfId="0" applyFont="1" applyFill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9" fontId="4" fillId="0" borderId="0" xfId="0" applyNumberFormat="1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left"/>
    </xf>
    <xf numFmtId="169" fontId="0" fillId="0" borderId="6" xfId="0" applyNumberForma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70" fontId="5" fillId="0" borderId="9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169" fontId="5" fillId="0" borderId="10" xfId="0" applyNumberFormat="1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169" fontId="4" fillId="0" borderId="10" xfId="0" applyNumberFormat="1" applyFont="1" applyBorder="1" applyAlignment="1">
      <alignment horizontal="center"/>
    </xf>
    <xf numFmtId="0" fontId="7" fillId="0" borderId="8" xfId="0" applyFont="1" applyBorder="1"/>
    <xf numFmtId="171" fontId="4" fillId="0" borderId="10" xfId="0" applyNumberFormat="1" applyFont="1" applyBorder="1" applyAlignment="1">
      <alignment horizontal="center"/>
    </xf>
    <xf numFmtId="0" fontId="4" fillId="0" borderId="9" xfId="0" applyFont="1" applyBorder="1"/>
    <xf numFmtId="172" fontId="4" fillId="0" borderId="10" xfId="0" quotePrefix="1" applyNumberFormat="1" applyFont="1" applyBorder="1" applyAlignment="1">
      <alignment horizontal="center"/>
    </xf>
    <xf numFmtId="169" fontId="8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 wrapText="1"/>
    </xf>
    <xf numFmtId="0" fontId="7" fillId="0" borderId="12" xfId="0" applyFont="1" applyBorder="1"/>
    <xf numFmtId="172" fontId="4" fillId="0" borderId="10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172" fontId="4" fillId="0" borderId="8" xfId="0" quotePrefix="1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4" fontId="0" fillId="0" borderId="0" xfId="0" applyNumberFormat="1" applyAlignment="1">
      <alignment horizontal="right"/>
    </xf>
    <xf numFmtId="174" fontId="0" fillId="0" borderId="0" xfId="0" applyNumberForma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17" xfId="0" applyFont="1" applyBorder="1"/>
    <xf numFmtId="0" fontId="5" fillId="0" borderId="16" xfId="0" applyFont="1" applyBorder="1"/>
    <xf numFmtId="169" fontId="4" fillId="0" borderId="19" xfId="0" applyNumberFormat="1" applyFont="1" applyBorder="1" applyAlignment="1">
      <alignment horizontal="center"/>
    </xf>
    <xf numFmtId="173" fontId="4" fillId="0" borderId="10" xfId="0" applyNumberFormat="1" applyFont="1" applyBorder="1" applyAlignment="1">
      <alignment horizontal="center"/>
    </xf>
    <xf numFmtId="169" fontId="4" fillId="0" borderId="8" xfId="0" applyNumberFormat="1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172" fontId="7" fillId="0" borderId="14" xfId="0" quotePrefix="1" applyNumberFormat="1" applyFont="1" applyBorder="1" applyAlignment="1">
      <alignment horizontal="center"/>
    </xf>
    <xf numFmtId="169" fontId="9" fillId="0" borderId="14" xfId="0" applyNumberFormat="1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/>
    <xf numFmtId="0" fontId="0" fillId="4" borderId="0" xfId="0" applyFill="1"/>
    <xf numFmtId="44" fontId="0" fillId="4" borderId="0" xfId="0" applyNumberFormat="1" applyFill="1"/>
    <xf numFmtId="0" fontId="0" fillId="5" borderId="0" xfId="0" applyFill="1"/>
    <xf numFmtId="0" fontId="2" fillId="4" borderId="0" xfId="0" applyFont="1" applyFill="1"/>
    <xf numFmtId="0" fontId="0" fillId="6" borderId="8" xfId="0" applyFill="1" applyBorder="1"/>
    <xf numFmtId="0" fontId="0" fillId="6" borderId="0" xfId="0" applyFill="1"/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9" fontId="0" fillId="6" borderId="0" xfId="3" applyFont="1" applyFill="1" applyBorder="1" applyAlignment="1">
      <alignment horizontal="center"/>
    </xf>
    <xf numFmtId="44" fontId="0" fillId="4" borderId="0" xfId="0" applyNumberFormat="1" applyFill="1" applyAlignment="1">
      <alignment horizontal="center"/>
    </xf>
    <xf numFmtId="0" fontId="2" fillId="6" borderId="8" xfId="0" applyFont="1" applyFill="1" applyBorder="1" applyAlignment="1">
      <alignment horizontal="left" wrapText="1"/>
    </xf>
    <xf numFmtId="175" fontId="10" fillId="4" borderId="8" xfId="1" applyNumberFormat="1" applyFont="1" applyFill="1" applyBorder="1" applyAlignment="1">
      <alignment horizontal="left"/>
    </xf>
    <xf numFmtId="9" fontId="10" fillId="4" borderId="0" xfId="3" applyFont="1" applyFill="1" applyBorder="1" applyAlignment="1">
      <alignment horizontal="center"/>
    </xf>
    <xf numFmtId="44" fontId="0" fillId="4" borderId="0" xfId="2" applyFont="1" applyFill="1" applyBorder="1"/>
    <xf numFmtId="44" fontId="2" fillId="4" borderId="0" xfId="0" applyNumberFormat="1" applyFont="1" applyFill="1"/>
    <xf numFmtId="167" fontId="2" fillId="4" borderId="0" xfId="0" applyNumberFormat="1" applyFont="1" applyFill="1"/>
    <xf numFmtId="9" fontId="2" fillId="4" borderId="0" xfId="0" applyNumberFormat="1" applyFont="1" applyFill="1"/>
    <xf numFmtId="37" fontId="11" fillId="4" borderId="8" xfId="0" applyNumberFormat="1" applyFont="1" applyFill="1" applyBorder="1" applyAlignment="1">
      <alignment horizontal="center"/>
    </xf>
    <xf numFmtId="175" fontId="10" fillId="7" borderId="8" xfId="1" applyNumberFormat="1" applyFont="1" applyFill="1" applyBorder="1" applyAlignment="1">
      <alignment horizontal="left"/>
    </xf>
    <xf numFmtId="9" fontId="10" fillId="7" borderId="0" xfId="3" applyFont="1" applyFill="1" applyBorder="1" applyAlignment="1">
      <alignment horizontal="center"/>
    </xf>
    <xf numFmtId="44" fontId="0" fillId="7" borderId="0" xfId="2" applyFont="1" applyFill="1" applyBorder="1"/>
    <xf numFmtId="44" fontId="2" fillId="7" borderId="0" xfId="0" applyNumberFormat="1" applyFont="1" applyFill="1"/>
    <xf numFmtId="44" fontId="0" fillId="7" borderId="0" xfId="0" applyNumberFormat="1" applyFill="1"/>
    <xf numFmtId="167" fontId="2" fillId="7" borderId="0" xfId="0" applyNumberFormat="1" applyFont="1" applyFill="1"/>
    <xf numFmtId="37" fontId="11" fillId="7" borderId="8" xfId="0" applyNumberFormat="1" applyFont="1" applyFill="1" applyBorder="1" applyAlignment="1">
      <alignment horizontal="center"/>
    </xf>
    <xf numFmtId="175" fontId="10" fillId="7" borderId="25" xfId="1" applyNumberFormat="1" applyFont="1" applyFill="1" applyBorder="1" applyAlignment="1">
      <alignment horizontal="left"/>
    </xf>
    <xf numFmtId="9" fontId="10" fillId="7" borderId="26" xfId="3" applyFont="1" applyFill="1" applyBorder="1" applyAlignment="1">
      <alignment horizontal="center"/>
    </xf>
    <xf numFmtId="44" fontId="0" fillId="7" borderId="26" xfId="2" applyFont="1" applyFill="1" applyBorder="1"/>
    <xf numFmtId="44" fontId="2" fillId="7" borderId="26" xfId="0" applyNumberFormat="1" applyFont="1" applyFill="1" applyBorder="1"/>
    <xf numFmtId="44" fontId="0" fillId="7" borderId="26" xfId="0" applyNumberFormat="1" applyFill="1" applyBorder="1"/>
    <xf numFmtId="167" fontId="2" fillId="7" borderId="26" xfId="0" applyNumberFormat="1" applyFont="1" applyFill="1" applyBorder="1"/>
    <xf numFmtId="175" fontId="10" fillId="4" borderId="0" xfId="1" applyNumberFormat="1" applyFont="1" applyFill="1"/>
    <xf numFmtId="44" fontId="0" fillId="4" borderId="0" xfId="2" applyFont="1" applyFill="1"/>
    <xf numFmtId="0" fontId="0" fillId="8" borderId="0" xfId="0" applyFill="1"/>
    <xf numFmtId="0" fontId="2" fillId="5" borderId="28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5" borderId="28" xfId="0" applyFont="1" applyFill="1" applyBorder="1"/>
    <xf numFmtId="165" fontId="0" fillId="4" borderId="28" xfId="3" applyNumberFormat="1" applyFont="1" applyFill="1" applyBorder="1" applyAlignment="1">
      <alignment horizontal="center"/>
    </xf>
    <xf numFmtId="176" fontId="0" fillId="4" borderId="28" xfId="0" applyNumberFormat="1" applyFill="1" applyBorder="1" applyAlignment="1">
      <alignment horizontal="center"/>
    </xf>
    <xf numFmtId="176" fontId="0" fillId="4" borderId="0" xfId="0" applyNumberFormat="1" applyFill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3" fontId="0" fillId="4" borderId="28" xfId="0" applyNumberFormat="1" applyFill="1" applyBorder="1"/>
    <xf numFmtId="44" fontId="0" fillId="4" borderId="28" xfId="0" applyNumberFormat="1" applyFill="1" applyBorder="1" applyAlignment="1">
      <alignment horizontal="center"/>
    </xf>
    <xf numFmtId="176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9" fontId="0" fillId="4" borderId="0" xfId="3" applyFont="1" applyFill="1" applyBorder="1" applyAlignment="1">
      <alignment horizontal="center"/>
    </xf>
    <xf numFmtId="167" fontId="2" fillId="4" borderId="26" xfId="0" applyNumberFormat="1" applyFont="1" applyFill="1" applyBorder="1"/>
    <xf numFmtId="37" fontId="11" fillId="7" borderId="12" xfId="0" applyNumberFormat="1" applyFont="1" applyFill="1" applyBorder="1" applyAlignment="1">
      <alignment horizontal="center"/>
    </xf>
    <xf numFmtId="166" fontId="0" fillId="4" borderId="0" xfId="0" applyNumberFormat="1" applyFill="1" applyAlignment="1">
      <alignment horizontal="center"/>
    </xf>
    <xf numFmtId="165" fontId="0" fillId="4" borderId="23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wrapText="1"/>
    </xf>
    <xf numFmtId="44" fontId="0" fillId="4" borderId="28" xfId="2" applyFont="1" applyFill="1" applyBorder="1"/>
    <xf numFmtId="0" fontId="2" fillId="5" borderId="28" xfId="4" applyFont="1" applyFill="1" applyBorder="1"/>
    <xf numFmtId="3" fontId="2" fillId="5" borderId="28" xfId="0" applyNumberFormat="1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 indent="2"/>
    </xf>
    <xf numFmtId="0" fontId="2" fillId="5" borderId="28" xfId="4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/>
    </xf>
    <xf numFmtId="0" fontId="2" fillId="5" borderId="13" xfId="4" applyFont="1" applyFill="1" applyBorder="1"/>
    <xf numFmtId="0" fontId="2" fillId="4" borderId="28" xfId="0" applyFont="1" applyFill="1" applyBorder="1"/>
    <xf numFmtId="44" fontId="0" fillId="4" borderId="28" xfId="2" applyFont="1" applyFill="1" applyBorder="1" applyAlignment="1">
      <alignment horizontal="center"/>
    </xf>
    <xf numFmtId="0" fontId="1" fillId="4" borderId="28" xfId="4" applyFill="1" applyBorder="1" applyAlignment="1">
      <alignment horizontal="center"/>
    </xf>
    <xf numFmtId="166" fontId="0" fillId="4" borderId="28" xfId="2" applyNumberFormat="1" applyFont="1" applyFill="1" applyBorder="1" applyAlignment="1">
      <alignment horizontal="center"/>
    </xf>
    <xf numFmtId="165" fontId="0" fillId="5" borderId="28" xfId="3" applyNumberFormat="1" applyFont="1" applyFill="1" applyBorder="1" applyAlignment="1">
      <alignment horizontal="center"/>
    </xf>
    <xf numFmtId="176" fontId="0" fillId="5" borderId="28" xfId="0" applyNumberFormat="1" applyFill="1" applyBorder="1" applyAlignment="1">
      <alignment horizontal="center"/>
    </xf>
    <xf numFmtId="0" fontId="2" fillId="5" borderId="21" xfId="0" applyFont="1" applyFill="1" applyBorder="1"/>
    <xf numFmtId="0" fontId="0" fillId="5" borderId="23" xfId="0" applyFill="1" applyBorder="1"/>
    <xf numFmtId="0" fontId="0" fillId="4" borderId="8" xfId="0" applyFill="1" applyBorder="1"/>
    <xf numFmtId="0" fontId="0" fillId="7" borderId="12" xfId="0" applyFill="1" applyBorder="1"/>
    <xf numFmtId="0" fontId="0" fillId="7" borderId="1" xfId="0" applyFill="1" applyBorder="1"/>
    <xf numFmtId="44" fontId="0" fillId="7" borderId="1" xfId="0" applyNumberFormat="1" applyFill="1" applyBorder="1"/>
    <xf numFmtId="0" fontId="0" fillId="4" borderId="1" xfId="0" applyFill="1" applyBorder="1"/>
    <xf numFmtId="0" fontId="0" fillId="4" borderId="7" xfId="0" applyFill="1" applyBorder="1"/>
    <xf numFmtId="165" fontId="0" fillId="4" borderId="0" xfId="3" applyNumberFormat="1" applyFont="1" applyFill="1" applyBorder="1" applyAlignment="1">
      <alignment horizontal="center"/>
    </xf>
    <xf numFmtId="1" fontId="0" fillId="4" borderId="0" xfId="3" applyNumberFormat="1" applyFont="1" applyFill="1" applyBorder="1" applyAlignment="1">
      <alignment horizontal="center"/>
    </xf>
    <xf numFmtId="3" fontId="0" fillId="4" borderId="0" xfId="3" applyNumberFormat="1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 wrapText="1" readingOrder="1"/>
    </xf>
    <xf numFmtId="3" fontId="0" fillId="4" borderId="0" xfId="0" applyNumberFormat="1" applyFill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5" fontId="0" fillId="4" borderId="1" xfId="3" applyNumberFormat="1" applyFont="1" applyFill="1" applyBorder="1" applyAlignment="1">
      <alignment horizontal="center"/>
    </xf>
    <xf numFmtId="1" fontId="0" fillId="4" borderId="1" xfId="3" applyNumberFormat="1" applyFont="1" applyFill="1" applyBorder="1" applyAlignment="1">
      <alignment horizontal="center"/>
    </xf>
    <xf numFmtId="3" fontId="0" fillId="4" borderId="1" xfId="3" applyNumberFormat="1" applyFont="1" applyFill="1" applyBorder="1" applyAlignment="1">
      <alignment horizontal="center"/>
    </xf>
    <xf numFmtId="168" fontId="0" fillId="4" borderId="1" xfId="0" applyNumberFormat="1" applyFill="1" applyBorder="1" applyAlignment="1">
      <alignment horizontal="center"/>
    </xf>
    <xf numFmtId="0" fontId="0" fillId="4" borderId="12" xfId="0" applyFill="1" applyBorder="1"/>
    <xf numFmtId="0" fontId="14" fillId="4" borderId="0" xfId="0" applyFont="1" applyFill="1" applyAlignment="1">
      <alignment horizontal="center" wrapText="1" readingOrder="1"/>
    </xf>
    <xf numFmtId="3" fontId="0" fillId="4" borderId="8" xfId="0" applyNumberFormat="1" applyFill="1" applyBorder="1" applyAlignment="1">
      <alignment horizontal="center"/>
    </xf>
    <xf numFmtId="3" fontId="0" fillId="4" borderId="12" xfId="0" applyNumberFormat="1" applyFill="1" applyBorder="1" applyAlignment="1">
      <alignment horizontal="center"/>
    </xf>
    <xf numFmtId="44" fontId="0" fillId="4" borderId="1" xfId="0" applyNumberFormat="1" applyFill="1" applyBorder="1" applyAlignment="1">
      <alignment horizontal="center"/>
    </xf>
    <xf numFmtId="0" fontId="13" fillId="11" borderId="21" xfId="0" applyFont="1" applyFill="1" applyBorder="1" applyAlignment="1">
      <alignment horizontal="center" wrapText="1" readingOrder="1"/>
    </xf>
    <xf numFmtId="0" fontId="13" fillId="11" borderId="22" xfId="0" applyFont="1" applyFill="1" applyBorder="1" applyAlignment="1">
      <alignment horizontal="center" wrapText="1" readingOrder="1"/>
    </xf>
    <xf numFmtId="0" fontId="2" fillId="4" borderId="0" xfId="0" applyFont="1" applyFill="1" applyAlignment="1">
      <alignment horizontal="left"/>
    </xf>
    <xf numFmtId="168" fontId="2" fillId="0" borderId="0" xfId="2" applyNumberFormat="1" applyFont="1" applyFill="1"/>
    <xf numFmtId="0" fontId="2" fillId="0" borderId="0" xfId="0" applyFont="1" applyAlignment="1">
      <alignment wrapText="1"/>
    </xf>
    <xf numFmtId="3" fontId="0" fillId="0" borderId="0" xfId="0" applyNumberFormat="1" applyAlignment="1">
      <alignment horizontal="center"/>
    </xf>
    <xf numFmtId="3" fontId="2" fillId="0" borderId="2" xfId="0" applyNumberFormat="1" applyFont="1" applyBorder="1" applyAlignment="1">
      <alignment horizontal="center"/>
    </xf>
    <xf numFmtId="44" fontId="0" fillId="0" borderId="0" xfId="0" applyNumberFormat="1" applyAlignment="1">
      <alignment horizontal="center"/>
    </xf>
    <xf numFmtId="164" fontId="0" fillId="0" borderId="0" xfId="2" applyNumberFormat="1" applyFont="1" applyAlignment="1"/>
    <xf numFmtId="164" fontId="0" fillId="0" borderId="1" xfId="2" applyNumberFormat="1" applyFont="1" applyBorder="1" applyAlignment="1"/>
    <xf numFmtId="0" fontId="2" fillId="5" borderId="13" xfId="0" applyFont="1" applyFill="1" applyBorder="1" applyAlignment="1">
      <alignment horizontal="center" wrapText="1"/>
    </xf>
    <xf numFmtId="0" fontId="2" fillId="5" borderId="0" xfId="0" applyFont="1" applyFill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168" fontId="0" fillId="0" borderId="0" xfId="0" applyNumberFormat="1"/>
    <xf numFmtId="164" fontId="0" fillId="0" borderId="1" xfId="0" applyNumberFormat="1" applyBorder="1"/>
    <xf numFmtId="0" fontId="15" fillId="0" borderId="0" xfId="0" applyFont="1" applyAlignment="1">
      <alignment wrapText="1"/>
    </xf>
    <xf numFmtId="44" fontId="0" fillId="4" borderId="26" xfId="0" applyNumberFormat="1" applyFill="1" applyBorder="1"/>
    <xf numFmtId="9" fontId="0" fillId="4" borderId="0" xfId="3" applyFont="1" applyFill="1" applyAlignment="1">
      <alignment horizontal="center"/>
    </xf>
    <xf numFmtId="9" fontId="0" fillId="7" borderId="0" xfId="3" applyFont="1" applyFill="1" applyAlignment="1">
      <alignment horizontal="center"/>
    </xf>
    <xf numFmtId="9" fontId="0" fillId="7" borderId="26" xfId="3" applyFont="1" applyFill="1" applyBorder="1" applyAlignment="1">
      <alignment horizontal="center"/>
    </xf>
    <xf numFmtId="37" fontId="12" fillId="7" borderId="25" xfId="0" applyNumberFormat="1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 wrapText="1"/>
    </xf>
    <xf numFmtId="0" fontId="2" fillId="6" borderId="13" xfId="0" applyFont="1" applyFill="1" applyBorder="1" applyAlignment="1">
      <alignment horizontal="center" wrapText="1"/>
    </xf>
    <xf numFmtId="0" fontId="0" fillId="6" borderId="9" xfId="0" applyFill="1" applyBorder="1"/>
    <xf numFmtId="0" fontId="0" fillId="6" borderId="18" xfId="0" applyFill="1" applyBorder="1"/>
    <xf numFmtId="9" fontId="2" fillId="4" borderId="24" xfId="3" applyFont="1" applyFill="1" applyBorder="1" applyAlignment="1">
      <alignment horizontal="center"/>
    </xf>
    <xf numFmtId="9" fontId="2" fillId="7" borderId="24" xfId="3" applyFont="1" applyFill="1" applyBorder="1" applyAlignment="1">
      <alignment horizontal="center"/>
    </xf>
    <xf numFmtId="9" fontId="2" fillId="7" borderId="27" xfId="3" applyFont="1" applyFill="1" applyBorder="1" applyAlignment="1">
      <alignment horizontal="center"/>
    </xf>
    <xf numFmtId="44" fontId="2" fillId="7" borderId="1" xfId="0" applyNumberFormat="1" applyFont="1" applyFill="1" applyBorder="1"/>
    <xf numFmtId="9" fontId="0" fillId="7" borderId="1" xfId="3" applyFont="1" applyFill="1" applyBorder="1" applyAlignment="1">
      <alignment horizontal="center"/>
    </xf>
    <xf numFmtId="9" fontId="2" fillId="7" borderId="29" xfId="3" applyFont="1" applyFill="1" applyBorder="1" applyAlignment="1">
      <alignment horizontal="center"/>
    </xf>
    <xf numFmtId="9" fontId="2" fillId="4" borderId="26" xfId="0" applyNumberFormat="1" applyFont="1" applyFill="1" applyBorder="1"/>
    <xf numFmtId="37" fontId="11" fillId="7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left" wrapText="1"/>
    </xf>
    <xf numFmtId="0" fontId="13" fillId="9" borderId="0" xfId="0" applyFont="1" applyFill="1" applyAlignment="1">
      <alignment horizontal="center" wrapText="1" readingOrder="1"/>
    </xf>
    <xf numFmtId="168" fontId="0" fillId="4" borderId="0" xfId="0" applyNumberFormat="1" applyFill="1" applyAlignment="1">
      <alignment horizontal="center"/>
    </xf>
    <xf numFmtId="168" fontId="2" fillId="4" borderId="0" xfId="0" applyNumberFormat="1" applyFont="1" applyFill="1" applyAlignment="1">
      <alignment horizontal="center"/>
    </xf>
    <xf numFmtId="9" fontId="2" fillId="4" borderId="24" xfId="0" applyNumberFormat="1" applyFont="1" applyFill="1" applyBorder="1" applyAlignment="1">
      <alignment horizontal="center"/>
    </xf>
    <xf numFmtId="168" fontId="2" fillId="4" borderId="1" xfId="0" applyNumberFormat="1" applyFont="1" applyFill="1" applyBorder="1" applyAlignment="1">
      <alignment horizontal="center"/>
    </xf>
    <xf numFmtId="9" fontId="0" fillId="4" borderId="1" xfId="3" applyFont="1" applyFill="1" applyBorder="1" applyAlignment="1">
      <alignment horizontal="center"/>
    </xf>
    <xf numFmtId="9" fontId="2" fillId="4" borderId="29" xfId="0" applyNumberFormat="1" applyFont="1" applyFill="1" applyBorder="1" applyAlignment="1">
      <alignment horizontal="center"/>
    </xf>
    <xf numFmtId="0" fontId="13" fillId="10" borderId="0" xfId="0" applyFont="1" applyFill="1" applyAlignment="1">
      <alignment horizontal="center" wrapText="1" readingOrder="1"/>
    </xf>
    <xf numFmtId="0" fontId="13" fillId="10" borderId="0" xfId="0" applyFont="1" applyFill="1" applyAlignment="1">
      <alignment wrapText="1" readingOrder="1"/>
    </xf>
    <xf numFmtId="0" fontId="13" fillId="10" borderId="6" xfId="0" applyFont="1" applyFill="1" applyBorder="1" applyAlignment="1">
      <alignment wrapText="1" readingOrder="1"/>
    </xf>
    <xf numFmtId="0" fontId="13" fillId="10" borderId="34" xfId="0" applyFont="1" applyFill="1" applyBorder="1" applyAlignment="1">
      <alignment horizontal="center" wrapText="1" readingOrder="1"/>
    </xf>
    <xf numFmtId="172" fontId="0" fillId="4" borderId="0" xfId="0" applyNumberFormat="1" applyFill="1" applyAlignment="1">
      <alignment horizontal="center"/>
    </xf>
    <xf numFmtId="9" fontId="0" fillId="4" borderId="34" xfId="3" applyFont="1" applyFill="1" applyBorder="1" applyAlignment="1">
      <alignment horizontal="center"/>
    </xf>
    <xf numFmtId="0" fontId="0" fillId="4" borderId="15" xfId="0" applyFill="1" applyBorder="1"/>
    <xf numFmtId="1" fontId="0" fillId="4" borderId="35" xfId="3" applyNumberFormat="1" applyFont="1" applyFill="1" applyBorder="1" applyAlignment="1">
      <alignment horizontal="center"/>
    </xf>
    <xf numFmtId="165" fontId="0" fillId="4" borderId="35" xfId="3" applyNumberFormat="1" applyFont="1" applyFill="1" applyBorder="1" applyAlignment="1">
      <alignment horizontal="center"/>
    </xf>
    <xf numFmtId="3" fontId="0" fillId="4" borderId="35" xfId="3" applyNumberFormat="1" applyFont="1" applyFill="1" applyBorder="1" applyAlignment="1">
      <alignment horizontal="center"/>
    </xf>
    <xf numFmtId="172" fontId="0" fillId="4" borderId="35" xfId="0" applyNumberFormat="1" applyFill="1" applyBorder="1" applyAlignment="1">
      <alignment horizontal="center"/>
    </xf>
    <xf numFmtId="9" fontId="0" fillId="4" borderId="35" xfId="3" applyFont="1" applyFill="1" applyBorder="1" applyAlignment="1">
      <alignment horizontal="center"/>
    </xf>
    <xf numFmtId="9" fontId="0" fillId="4" borderId="36" xfId="3" applyFont="1" applyFill="1" applyBorder="1" applyAlignment="1">
      <alignment horizontal="center"/>
    </xf>
    <xf numFmtId="165" fontId="1" fillId="4" borderId="18" xfId="4" applyNumberForma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9" fontId="2" fillId="4" borderId="29" xfId="3" applyFont="1" applyFill="1" applyBorder="1" applyAlignment="1">
      <alignment horizontal="center"/>
    </xf>
    <xf numFmtId="44" fontId="2" fillId="4" borderId="0" xfId="0" applyNumberFormat="1" applyFont="1" applyFill="1" applyAlignment="1">
      <alignment horizontal="center"/>
    </xf>
    <xf numFmtId="44" fontId="2" fillId="4" borderId="1" xfId="0" applyNumberFormat="1" applyFont="1" applyFill="1" applyBorder="1" applyAlignment="1">
      <alignment horizontal="center"/>
    </xf>
    <xf numFmtId="0" fontId="0" fillId="0" borderId="24" xfId="0" applyBorder="1"/>
    <xf numFmtId="0" fontId="0" fillId="0" borderId="38" xfId="0" applyBorder="1"/>
    <xf numFmtId="0" fontId="5" fillId="0" borderId="38" xfId="0" applyFont="1" applyBorder="1" applyAlignment="1">
      <alignment horizontal="center"/>
    </xf>
    <xf numFmtId="169" fontId="5" fillId="0" borderId="38" xfId="0" applyNumberFormat="1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37" xfId="0" applyNumberFormat="1" applyFont="1" applyBorder="1" applyAlignment="1">
      <alignment horizontal="center"/>
    </xf>
    <xf numFmtId="169" fontId="7" fillId="0" borderId="14" xfId="0" applyNumberFormat="1" applyFont="1" applyBorder="1" applyAlignment="1">
      <alignment horizontal="center"/>
    </xf>
    <xf numFmtId="0" fontId="0" fillId="0" borderId="7" xfId="0" applyBorder="1"/>
    <xf numFmtId="169" fontId="5" fillId="0" borderId="7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0" fontId="0" fillId="0" borderId="39" xfId="0" applyBorder="1"/>
    <xf numFmtId="172" fontId="7" fillId="0" borderId="12" xfId="0" quotePrefix="1" applyNumberFormat="1" applyFont="1" applyBorder="1" applyAlignment="1">
      <alignment horizontal="center"/>
    </xf>
    <xf numFmtId="172" fontId="4" fillId="0" borderId="0" xfId="0" quotePrefix="1" applyNumberFormat="1" applyFont="1" applyAlignment="1">
      <alignment horizontal="center"/>
    </xf>
    <xf numFmtId="171" fontId="4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69" fontId="4" fillId="0" borderId="40" xfId="0" applyNumberFormat="1" applyFont="1" applyBorder="1" applyAlignment="1">
      <alignment horizontal="center"/>
    </xf>
    <xf numFmtId="172" fontId="4" fillId="0" borderId="41" xfId="0" quotePrefix="1" applyNumberFormat="1" applyFont="1" applyBorder="1" applyAlignment="1">
      <alignment horizontal="center"/>
    </xf>
    <xf numFmtId="171" fontId="4" fillId="0" borderId="41" xfId="0" applyNumberFormat="1" applyFont="1" applyBorder="1" applyAlignment="1">
      <alignment horizontal="center"/>
    </xf>
    <xf numFmtId="169" fontId="4" fillId="0" borderId="41" xfId="0" applyNumberFormat="1" applyFont="1" applyBorder="1" applyAlignment="1">
      <alignment horizontal="center"/>
    </xf>
    <xf numFmtId="169" fontId="9" fillId="0" borderId="42" xfId="0" applyNumberFormat="1" applyFont="1" applyBorder="1" applyAlignment="1">
      <alignment horizontal="center"/>
    </xf>
    <xf numFmtId="169" fontId="9" fillId="0" borderId="1" xfId="0" applyNumberFormat="1" applyFont="1" applyBorder="1" applyAlignment="1">
      <alignment horizontal="center"/>
    </xf>
    <xf numFmtId="0" fontId="0" fillId="0" borderId="43" xfId="0" applyBorder="1"/>
    <xf numFmtId="0" fontId="5" fillId="0" borderId="41" xfId="0" applyFont="1" applyBorder="1"/>
    <xf numFmtId="0" fontId="5" fillId="0" borderId="41" xfId="0" applyFont="1" applyBorder="1" applyAlignment="1">
      <alignment horizontal="center"/>
    </xf>
    <xf numFmtId="177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4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2" fillId="6" borderId="28" xfId="0" applyFont="1" applyFill="1" applyBorder="1" applyAlignment="1">
      <alignment horizontal="center" wrapText="1"/>
    </xf>
    <xf numFmtId="0" fontId="2" fillId="6" borderId="28" xfId="0" applyFont="1" applyFill="1" applyBorder="1" applyAlignment="1">
      <alignment horizontal="center"/>
    </xf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13" fillId="9" borderId="30" xfId="0" applyFont="1" applyFill="1" applyBorder="1" applyAlignment="1">
      <alignment horizontal="center" wrapText="1" readingOrder="1"/>
    </xf>
    <xf numFmtId="0" fontId="13" fillId="9" borderId="31" xfId="0" applyFont="1" applyFill="1" applyBorder="1" applyAlignment="1">
      <alignment horizontal="center" wrapText="1" readingOrder="1"/>
    </xf>
    <xf numFmtId="0" fontId="13" fillId="9" borderId="2" xfId="0" applyFont="1" applyFill="1" applyBorder="1" applyAlignment="1">
      <alignment horizontal="center" wrapText="1" readingOrder="1"/>
    </xf>
    <xf numFmtId="0" fontId="13" fillId="9" borderId="20" xfId="0" applyFont="1" applyFill="1" applyBorder="1" applyAlignment="1">
      <alignment horizontal="center" wrapText="1" readingOrder="1"/>
    </xf>
    <xf numFmtId="0" fontId="13" fillId="9" borderId="17" xfId="0" applyFont="1" applyFill="1" applyBorder="1" applyAlignment="1">
      <alignment horizontal="center" wrapText="1"/>
    </xf>
    <xf numFmtId="0" fontId="13" fillId="9" borderId="2" xfId="0" applyFont="1" applyFill="1" applyBorder="1" applyAlignment="1">
      <alignment horizontal="center" wrapText="1"/>
    </xf>
    <xf numFmtId="0" fontId="13" fillId="9" borderId="8" xfId="0" applyFont="1" applyFill="1" applyBorder="1" applyAlignment="1">
      <alignment horizontal="center" wrapText="1"/>
    </xf>
    <xf numFmtId="0" fontId="13" fillId="9" borderId="0" xfId="0" applyFont="1" applyFill="1" applyAlignment="1">
      <alignment horizontal="center" wrapText="1"/>
    </xf>
    <xf numFmtId="0" fontId="13" fillId="10" borderId="30" xfId="0" applyFont="1" applyFill="1" applyBorder="1" applyAlignment="1">
      <alignment horizontal="center" wrapText="1" readingOrder="1"/>
    </xf>
    <xf numFmtId="0" fontId="13" fillId="10" borderId="31" xfId="0" applyFont="1" applyFill="1" applyBorder="1" applyAlignment="1">
      <alignment horizontal="center" wrapText="1" readingOrder="1"/>
    </xf>
    <xf numFmtId="0" fontId="13" fillId="10" borderId="33" xfId="0" applyFont="1" applyFill="1" applyBorder="1" applyAlignment="1">
      <alignment horizontal="center" wrapText="1" readingOrder="1"/>
    </xf>
    <xf numFmtId="0" fontId="13" fillId="10" borderId="6" xfId="0" applyFont="1" applyFill="1" applyBorder="1" applyAlignment="1">
      <alignment horizontal="center" wrapText="1" readingOrder="1"/>
    </xf>
    <xf numFmtId="0" fontId="13" fillId="10" borderId="32" xfId="0" applyFont="1" applyFill="1" applyBorder="1" applyAlignment="1">
      <alignment horizontal="center" wrapText="1" readingOrder="1"/>
    </xf>
    <xf numFmtId="0" fontId="13" fillId="10" borderId="3" xfId="0" applyFont="1" applyFill="1" applyBorder="1" applyAlignment="1">
      <alignment horizontal="left" wrapText="1" readingOrder="1"/>
    </xf>
    <xf numFmtId="0" fontId="13" fillId="10" borderId="7" xfId="0" applyFont="1" applyFill="1" applyBorder="1" applyAlignment="1">
      <alignment horizontal="left" wrapText="1" readingOrder="1"/>
    </xf>
    <xf numFmtId="0" fontId="13" fillId="10" borderId="0" xfId="0" applyFont="1" applyFill="1" applyAlignment="1">
      <alignment horizontal="center" wrapText="1" readingOrder="1"/>
    </xf>
    <xf numFmtId="0" fontId="13" fillId="11" borderId="30" xfId="0" applyFont="1" applyFill="1" applyBorder="1" applyAlignment="1">
      <alignment horizontal="center" wrapText="1" readingOrder="1"/>
    </xf>
    <xf numFmtId="0" fontId="13" fillId="11" borderId="31" xfId="0" applyFont="1" applyFill="1" applyBorder="1" applyAlignment="1">
      <alignment horizontal="center" wrapText="1" readingOrder="1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0" fontId="2" fillId="5" borderId="21" xfId="0" applyFont="1" applyFill="1" applyBorder="1" applyAlignment="1">
      <alignment horizontal="center" wrapText="1"/>
    </xf>
    <xf numFmtId="0" fontId="2" fillId="5" borderId="22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4" borderId="0" xfId="0" applyFont="1" applyFill="1" applyAlignment="1">
      <alignment wrapText="1"/>
    </xf>
  </cellXfs>
  <cellStyles count="5">
    <cellStyle name="Comma" xfId="1" builtinId="3"/>
    <cellStyle name="Currency" xfId="2" builtinId="4"/>
    <cellStyle name="Normal" xfId="0" builtinId="0"/>
    <cellStyle name="Normal 3" xfId="4" xr:uid="{0B46841C-DD80-4FAF-82B4-F65D75AC516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blpc2021\Documents\Rates\Clean%20Energy%20Rider\Draft%20application\Application\Exhibits\September%2030\Exhibit%20BESS-1.xlsx" TargetMode="External"/><Relationship Id="rId1" Type="http://schemas.openxmlformats.org/officeDocument/2006/relationships/externalLinkPath" Target="Exhibit%20BESS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enue Requirement"/>
      <sheetName val="Cost of Capital"/>
      <sheetName val="Resources"/>
      <sheetName val="Depreciation"/>
      <sheetName val="O&amp;M Expenses"/>
      <sheetName val="Taxes"/>
      <sheetName val="Income Statement"/>
    </sheetNames>
    <sheetDataSet>
      <sheetData sheetId="0">
        <row r="39">
          <cell r="D39">
            <v>22171702.402359515</v>
          </cell>
          <cell r="F39">
            <v>46134876.545560032</v>
          </cell>
          <cell r="H39">
            <v>46843115.659735143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81C4-8CE9-4E65-9447-499CE38105A3}">
  <dimension ref="A1:P20"/>
  <sheetViews>
    <sheetView tabSelected="1" workbookViewId="0">
      <selection activeCell="B22" sqref="B22"/>
    </sheetView>
  </sheetViews>
  <sheetFormatPr defaultRowHeight="14.4" x14ac:dyDescent="0.3"/>
  <cols>
    <col min="1" max="1" width="28.33203125" customWidth="1"/>
    <col min="2" max="2" width="8.44140625" customWidth="1"/>
    <col min="3" max="3" width="2.88671875" customWidth="1"/>
    <col min="4" max="4" width="20.77734375" customWidth="1"/>
    <col min="5" max="5" width="2.77734375" customWidth="1"/>
    <col min="6" max="6" width="20" customWidth="1"/>
    <col min="7" max="7" width="2.88671875" customWidth="1"/>
    <col min="8" max="8" width="16" customWidth="1"/>
    <col min="9" max="9" width="16.44140625" customWidth="1"/>
    <col min="10" max="10" width="16.88671875" customWidth="1"/>
    <col min="11" max="11" width="2.6640625" customWidth="1"/>
    <col min="12" max="12" width="15.21875" bestFit="1" customWidth="1"/>
    <col min="13" max="13" width="14.88671875" bestFit="1" customWidth="1"/>
    <col min="14" max="14" width="10.109375" bestFit="1" customWidth="1"/>
    <col min="15" max="15" width="2.5546875" customWidth="1"/>
    <col min="16" max="16" width="11.44140625" customWidth="1"/>
  </cols>
  <sheetData>
    <row r="1" spans="1:16" x14ac:dyDescent="0.3">
      <c r="I1" s="244" t="s">
        <v>154</v>
      </c>
      <c r="J1" s="244"/>
      <c r="K1" s="244"/>
      <c r="L1" s="244"/>
      <c r="M1" s="244"/>
      <c r="N1" s="244"/>
    </row>
    <row r="2" spans="1:16" x14ac:dyDescent="0.3">
      <c r="I2" s="244" t="s">
        <v>155</v>
      </c>
      <c r="J2" s="244"/>
      <c r="K2" s="244"/>
      <c r="L2" s="244"/>
      <c r="M2" s="244"/>
      <c r="N2" s="244"/>
    </row>
    <row r="3" spans="1:16" x14ac:dyDescent="0.3">
      <c r="I3" s="244" t="s">
        <v>156</v>
      </c>
      <c r="J3" s="244"/>
      <c r="K3" s="244"/>
      <c r="L3" s="244"/>
      <c r="M3" s="244"/>
      <c r="N3" s="244"/>
    </row>
    <row r="4" spans="1:16" x14ac:dyDescent="0.3">
      <c r="I4" s="244" t="s">
        <v>158</v>
      </c>
      <c r="J4" s="244"/>
      <c r="K4" s="244"/>
      <c r="L4" s="244"/>
      <c r="M4" s="244"/>
      <c r="N4" s="244"/>
    </row>
    <row r="5" spans="1:16" ht="43.2" customHeight="1" x14ac:dyDescent="0.3">
      <c r="B5" s="241" t="s">
        <v>10</v>
      </c>
      <c r="C5" s="243"/>
      <c r="D5" s="241" t="s">
        <v>8</v>
      </c>
      <c r="E5" s="241"/>
      <c r="F5" s="241" t="s">
        <v>11</v>
      </c>
      <c r="G5" s="10"/>
      <c r="H5" s="241" t="s">
        <v>12</v>
      </c>
      <c r="I5" s="241"/>
      <c r="J5" s="241"/>
      <c r="K5" s="10"/>
      <c r="L5" s="241" t="s">
        <v>13</v>
      </c>
      <c r="M5" s="241"/>
      <c r="N5" s="241"/>
      <c r="P5" s="170"/>
    </row>
    <row r="6" spans="1:16" ht="28.8" x14ac:dyDescent="0.3">
      <c r="A6" s="8" t="s">
        <v>7</v>
      </c>
      <c r="B6" s="242"/>
      <c r="C6" s="243"/>
      <c r="D6" s="242"/>
      <c r="E6" s="242"/>
      <c r="F6" s="242"/>
      <c r="G6" s="10"/>
      <c r="H6" s="9">
        <v>2024</v>
      </c>
      <c r="I6" s="9">
        <v>2025</v>
      </c>
      <c r="J6" s="9">
        <v>2026</v>
      </c>
      <c r="K6" s="10"/>
      <c r="L6" s="9">
        <v>2024</v>
      </c>
      <c r="M6" s="9">
        <v>2025</v>
      </c>
      <c r="N6" s="9">
        <v>2026</v>
      </c>
      <c r="P6" s="9" t="s">
        <v>157</v>
      </c>
    </row>
    <row r="7" spans="1:16" x14ac:dyDescent="0.3">
      <c r="A7" t="s">
        <v>0</v>
      </c>
      <c r="B7" s="6">
        <v>7.6236423720633953E-2</v>
      </c>
      <c r="C7" s="6"/>
      <c r="D7" s="1">
        <v>350658749.66966999</v>
      </c>
      <c r="E7" s="1"/>
      <c r="F7" s="1">
        <f>D7*(1+B7)</f>
        <v>377391718.69083464</v>
      </c>
      <c r="G7" s="1"/>
      <c r="H7" s="162">
        <f>ROUND((H$19*(1+$B7)),6)</f>
        <v>2.3498000000000002E-2</v>
      </c>
      <c r="I7" s="162">
        <f t="shared" ref="I7:J7" si="0">ROUND((I$19*(1+$B7)),6)</f>
        <v>4.8894E-2</v>
      </c>
      <c r="J7" s="162">
        <f t="shared" si="0"/>
        <v>4.9645000000000002E-2</v>
      </c>
      <c r="K7" s="7"/>
      <c r="L7" s="159">
        <f t="shared" ref="L7:N13" si="1">H7*$D7</f>
        <v>8239779.2997379061</v>
      </c>
      <c r="M7" s="159">
        <f t="shared" si="1"/>
        <v>17145108.906348843</v>
      </c>
      <c r="N7" s="159">
        <f t="shared" si="1"/>
        <v>17408453.627350766</v>
      </c>
      <c r="P7" s="13">
        <f>SUM(H7:J7)</f>
        <v>0.12203700000000001</v>
      </c>
    </row>
    <row r="8" spans="1:16" x14ac:dyDescent="0.3">
      <c r="A8" t="s">
        <v>1</v>
      </c>
      <c r="B8" s="6">
        <f>B7</f>
        <v>7.6236423720633953E-2</v>
      </c>
      <c r="C8" s="6"/>
      <c r="D8" s="1">
        <v>53841193.32999</v>
      </c>
      <c r="E8" s="1"/>
      <c r="F8" s="1">
        <f t="shared" ref="F8:F13" si="2">D8*(1+B8)</f>
        <v>57945853.358319685</v>
      </c>
      <c r="G8" s="1"/>
      <c r="H8" s="162">
        <f t="shared" ref="H8:J13" si="3">ROUND((H$19*(1+$B8)),6)</f>
        <v>2.3498000000000002E-2</v>
      </c>
      <c r="I8" s="162">
        <f t="shared" si="3"/>
        <v>4.8894E-2</v>
      </c>
      <c r="J8" s="162">
        <f t="shared" si="3"/>
        <v>4.9645000000000002E-2</v>
      </c>
      <c r="K8" s="7"/>
      <c r="L8" s="159">
        <f t="shared" si="1"/>
        <v>1265160.3608681052</v>
      </c>
      <c r="M8" s="159">
        <f t="shared" si="1"/>
        <v>2632511.3066765312</v>
      </c>
      <c r="N8" s="159">
        <f t="shared" si="1"/>
        <v>2672946.0428673537</v>
      </c>
      <c r="P8" s="13">
        <f t="shared" ref="P8:P13" si="4">SUM(H8:J8)</f>
        <v>0.12203700000000001</v>
      </c>
    </row>
    <row r="9" spans="1:16" x14ac:dyDescent="0.3">
      <c r="A9" t="s">
        <v>2</v>
      </c>
      <c r="B9" s="6">
        <f>B7</f>
        <v>7.6236423720633953E-2</v>
      </c>
      <c r="C9" s="6"/>
      <c r="D9" s="1">
        <v>317104089.88320005</v>
      </c>
      <c r="E9" s="1"/>
      <c r="F9" s="1">
        <f t="shared" si="2"/>
        <v>341278971.64308167</v>
      </c>
      <c r="G9" s="1"/>
      <c r="H9" s="162">
        <f t="shared" si="3"/>
        <v>2.3498000000000002E-2</v>
      </c>
      <c r="I9" s="162">
        <f t="shared" si="3"/>
        <v>4.8894E-2</v>
      </c>
      <c r="J9" s="162">
        <f t="shared" si="3"/>
        <v>4.9645000000000002E-2</v>
      </c>
      <c r="K9" s="7"/>
      <c r="L9" s="159">
        <f t="shared" si="1"/>
        <v>7451311.9040754354</v>
      </c>
      <c r="M9" s="159">
        <f t="shared" si="1"/>
        <v>15504487.370749183</v>
      </c>
      <c r="N9" s="159">
        <f t="shared" si="1"/>
        <v>15742632.542251468</v>
      </c>
      <c r="P9" s="13">
        <f t="shared" si="4"/>
        <v>0.12203700000000001</v>
      </c>
    </row>
    <row r="10" spans="1:16" x14ac:dyDescent="0.3">
      <c r="A10" t="s">
        <v>3</v>
      </c>
      <c r="B10" s="6">
        <v>5.7771252843217283E-2</v>
      </c>
      <c r="C10" s="6"/>
      <c r="D10" s="1">
        <v>180384540.58199</v>
      </c>
      <c r="E10" s="1"/>
      <c r="F10" s="1">
        <f t="shared" si="2"/>
        <v>190805581.48495972</v>
      </c>
      <c r="G10" s="1"/>
      <c r="H10" s="162">
        <f t="shared" si="3"/>
        <v>2.3095000000000001E-2</v>
      </c>
      <c r="I10" s="162">
        <f t="shared" si="3"/>
        <v>4.8055E-2</v>
      </c>
      <c r="J10" s="162">
        <f t="shared" si="3"/>
        <v>4.8793000000000003E-2</v>
      </c>
      <c r="K10" s="7"/>
      <c r="L10" s="159">
        <f t="shared" si="1"/>
        <v>4165980.9647410591</v>
      </c>
      <c r="M10" s="159">
        <f t="shared" si="1"/>
        <v>8668379.0976675302</v>
      </c>
      <c r="N10" s="159">
        <f t="shared" si="1"/>
        <v>8801502.8886170387</v>
      </c>
      <c r="P10" s="13">
        <f t="shared" si="4"/>
        <v>0.11994300000000001</v>
      </c>
    </row>
    <row r="11" spans="1:16" x14ac:dyDescent="0.3">
      <c r="A11" t="s">
        <v>4</v>
      </c>
      <c r="B11" s="6">
        <v>6.6355804330277476E-2</v>
      </c>
      <c r="C11" s="6"/>
      <c r="D11" s="1">
        <v>39107971</v>
      </c>
      <c r="E11" s="1"/>
      <c r="F11" s="1">
        <f t="shared" si="2"/>
        <v>41703011.871430166</v>
      </c>
      <c r="G11" s="1"/>
      <c r="H11" s="162">
        <f>ROUND((H$19*(1+$B11)),6)</f>
        <v>2.3282000000000001E-2</v>
      </c>
      <c r="I11" s="162">
        <f t="shared" si="3"/>
        <v>4.8445000000000002E-2</v>
      </c>
      <c r="J11" s="162">
        <f t="shared" si="3"/>
        <v>4.9188999999999997E-2</v>
      </c>
      <c r="K11" s="7"/>
      <c r="L11" s="159">
        <f t="shared" si="1"/>
        <v>910511.780822</v>
      </c>
      <c r="M11" s="159">
        <f t="shared" si="1"/>
        <v>1894585.6550950001</v>
      </c>
      <c r="N11" s="159">
        <f t="shared" si="1"/>
        <v>1923681.9855189999</v>
      </c>
      <c r="P11" s="13">
        <f t="shared" si="4"/>
        <v>0.120916</v>
      </c>
    </row>
    <row r="12" spans="1:16" x14ac:dyDescent="0.3">
      <c r="A12" t="s">
        <v>5</v>
      </c>
      <c r="B12" s="6">
        <v>5.7771252843217283E-2</v>
      </c>
      <c r="C12" s="6"/>
      <c r="D12" s="1">
        <v>1761794.1026900001</v>
      </c>
      <c r="E12" s="1"/>
      <c r="F12" s="1">
        <f t="shared" si="2"/>
        <v>1863575.1552541931</v>
      </c>
      <c r="G12" s="1"/>
      <c r="H12" s="162">
        <f t="shared" si="3"/>
        <v>2.3095000000000001E-2</v>
      </c>
      <c r="I12" s="162">
        <f t="shared" si="3"/>
        <v>4.8055E-2</v>
      </c>
      <c r="J12" s="162">
        <f t="shared" si="3"/>
        <v>4.8793000000000003E-2</v>
      </c>
      <c r="K12" s="7"/>
      <c r="L12" s="159">
        <f t="shared" si="1"/>
        <v>40688.634801625551</v>
      </c>
      <c r="M12" s="159">
        <f t="shared" si="1"/>
        <v>84663.015604767948</v>
      </c>
      <c r="N12" s="159">
        <f t="shared" si="1"/>
        <v>85963.219652553176</v>
      </c>
      <c r="P12" s="13">
        <f t="shared" si="4"/>
        <v>0.11994300000000001</v>
      </c>
    </row>
    <row r="13" spans="1:16" x14ac:dyDescent="0.3">
      <c r="A13" t="s">
        <v>6</v>
      </c>
      <c r="B13" s="6">
        <f>B7</f>
        <v>7.6236423720633953E-2</v>
      </c>
      <c r="C13" s="6"/>
      <c r="D13" s="1">
        <v>4194426.8234519996</v>
      </c>
      <c r="E13" s="1"/>
      <c r="F13" s="1">
        <f t="shared" si="2"/>
        <v>4514194.9240298783</v>
      </c>
      <c r="G13" s="1"/>
      <c r="H13" s="163">
        <f t="shared" si="3"/>
        <v>2.3498000000000002E-2</v>
      </c>
      <c r="I13" s="163">
        <f t="shared" si="3"/>
        <v>4.8894E-2</v>
      </c>
      <c r="J13" s="163">
        <f t="shared" si="3"/>
        <v>4.9645000000000002E-2</v>
      </c>
      <c r="K13" s="12"/>
      <c r="L13" s="159">
        <f t="shared" si="1"/>
        <v>98560.641497475095</v>
      </c>
      <c r="M13" s="159">
        <f t="shared" si="1"/>
        <v>205082.30510586206</v>
      </c>
      <c r="N13" s="159">
        <f t="shared" si="1"/>
        <v>208232.31965027453</v>
      </c>
      <c r="P13" s="169">
        <f t="shared" si="4"/>
        <v>0.12203700000000001</v>
      </c>
    </row>
    <row r="14" spans="1:16" x14ac:dyDescent="0.3">
      <c r="A14" t="s">
        <v>9</v>
      </c>
      <c r="D14" s="4">
        <f>SUM(D7:D13)</f>
        <v>947052765.39099205</v>
      </c>
      <c r="E14" s="11"/>
      <c r="F14" s="4">
        <f>SUM(F7:F13)</f>
        <v>1015502907.1279099</v>
      </c>
      <c r="G14" s="11"/>
      <c r="H14" s="5">
        <f>L14/$D$14</f>
        <v>2.3411571558412451E-2</v>
      </c>
      <c r="I14" s="5">
        <f>M14/$D$14</f>
        <v>4.8714094233388253E-2</v>
      </c>
      <c r="J14" s="5">
        <f>N14/$D$14</f>
        <v>4.9462304887066239E-2</v>
      </c>
      <c r="K14" s="11"/>
      <c r="L14" s="160">
        <f>SUM(L7:L13)</f>
        <v>22171993.586543608</v>
      </c>
      <c r="M14" s="160">
        <f t="shared" ref="M14:N14" si="5">SUM(M7:M13)</f>
        <v>46134817.657247722</v>
      </c>
      <c r="N14" s="160">
        <f t="shared" si="5"/>
        <v>46843412.625908464</v>
      </c>
      <c r="P14" s="5">
        <f>SUM(L14:N14)/D14</f>
        <v>0.12158797067886694</v>
      </c>
    </row>
    <row r="15" spans="1:16" x14ac:dyDescent="0.3">
      <c r="I15" s="2"/>
      <c r="J15" s="158" t="s">
        <v>148</v>
      </c>
      <c r="L15" s="161">
        <f>L14-H17</f>
        <v>291.18418409302831</v>
      </c>
      <c r="M15" s="161">
        <f>M14-I17</f>
        <v>-58.888312309980392</v>
      </c>
      <c r="N15" s="161">
        <f>N14-J17</f>
        <v>296.96617332100868</v>
      </c>
    </row>
    <row r="17" spans="5:16" ht="24.6" customHeight="1" x14ac:dyDescent="0.3">
      <c r="E17" s="2"/>
      <c r="F17" s="158" t="s">
        <v>14</v>
      </c>
      <c r="G17" s="157"/>
      <c r="H17" s="14">
        <f>'[1]Revenue Requirement'!$D$39</f>
        <v>22171702.402359515</v>
      </c>
      <c r="I17" s="14">
        <f>'[1]Revenue Requirement'!$F$39</f>
        <v>46134876.545560032</v>
      </c>
      <c r="J17" s="14">
        <f>'[1]Revenue Requirement'!$H$39</f>
        <v>46843115.659735143</v>
      </c>
      <c r="L17" s="168"/>
    </row>
    <row r="18" spans="5:16" x14ac:dyDescent="0.3">
      <c r="L18" s="13"/>
    </row>
    <row r="19" spans="5:16" x14ac:dyDescent="0.3">
      <c r="E19" s="2"/>
      <c r="F19" t="s">
        <v>159</v>
      </c>
      <c r="G19" s="13"/>
      <c r="H19" s="240">
        <f>H$17/$F$14</f>
        <v>2.183322395901997E-2</v>
      </c>
      <c r="I19" s="240">
        <f t="shared" ref="I19" si="6">I$17/$F$14</f>
        <v>4.5430570628340911E-2</v>
      </c>
      <c r="J19" s="240">
        <f>J$17/$F$14</f>
        <v>4.6127997596992515E-2</v>
      </c>
      <c r="L19" s="2"/>
      <c r="P19" s="5">
        <f>SUM(H17:J17)/F14</f>
        <v>0.1133917921843534</v>
      </c>
    </row>
    <row r="20" spans="5:16" x14ac:dyDescent="0.3">
      <c r="F20" t="s">
        <v>160</v>
      </c>
      <c r="G20" s="13"/>
      <c r="H20" s="240">
        <f>L$14/$D$14</f>
        <v>2.3411571558412451E-2</v>
      </c>
      <c r="I20" s="240">
        <f>M$14/$D$14</f>
        <v>4.8714094233388253E-2</v>
      </c>
      <c r="J20" s="240">
        <f>N$14/$D$14</f>
        <v>4.9462304887066239E-2</v>
      </c>
      <c r="P20" s="5">
        <f>SUM(L14:N14)/D14</f>
        <v>0.12158797067886694</v>
      </c>
    </row>
  </sheetData>
  <mergeCells count="11">
    <mergeCell ref="I1:N1"/>
    <mergeCell ref="I2:N2"/>
    <mergeCell ref="I3:N3"/>
    <mergeCell ref="I4:N4"/>
    <mergeCell ref="H5:J5"/>
    <mergeCell ref="L5:N5"/>
    <mergeCell ref="B5:B6"/>
    <mergeCell ref="D5:D6"/>
    <mergeCell ref="F5:F6"/>
    <mergeCell ref="E5:E6"/>
    <mergeCell ref="C5:C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04B3D-7A13-4645-A2F3-68F5157AC99C}">
  <dimension ref="C3:Q59"/>
  <sheetViews>
    <sheetView workbookViewId="0">
      <selection activeCell="J28" sqref="J28"/>
    </sheetView>
  </sheetViews>
  <sheetFormatPr defaultColWidth="9.109375" defaultRowHeight="14.4" x14ac:dyDescent="0.3"/>
  <cols>
    <col min="1" max="3" width="9.109375" style="99"/>
    <col min="4" max="4" width="25.33203125" style="99" customWidth="1"/>
    <col min="5" max="7" width="9.6640625" style="99" bestFit="1" customWidth="1"/>
    <col min="8" max="8" width="10" style="99" bestFit="1" customWidth="1"/>
    <col min="9" max="9" width="10" style="99" customWidth="1"/>
    <col min="10" max="10" width="10" style="99" bestFit="1" customWidth="1"/>
    <col min="11" max="11" width="12.44140625" style="99" customWidth="1"/>
    <col min="12" max="12" width="12.33203125" style="99" customWidth="1"/>
    <col min="13" max="13" width="12" style="99" customWidth="1"/>
    <col min="14" max="14" width="10.109375" style="99" customWidth="1"/>
    <col min="15" max="15" width="13.88671875" style="99" customWidth="1"/>
    <col min="16" max="16" width="7" style="99" bestFit="1" customWidth="1"/>
    <col min="17" max="16384" width="9.109375" style="99"/>
  </cols>
  <sheetData>
    <row r="3" spans="3:17" x14ac:dyDescent="0.3">
      <c r="C3" s="66"/>
      <c r="D3" s="66"/>
      <c r="E3" s="66"/>
      <c r="F3" s="66"/>
      <c r="G3" s="69" t="s">
        <v>104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3:17" x14ac:dyDescent="0.3"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3:17" ht="40.5" customHeight="1" x14ac:dyDescent="0.3">
      <c r="C5" s="66"/>
      <c r="D5" s="282" t="s">
        <v>0</v>
      </c>
      <c r="E5" s="283"/>
      <c r="F5" s="283"/>
      <c r="G5" s="283"/>
      <c r="H5" s="283"/>
      <c r="I5" s="283"/>
      <c r="J5" s="283"/>
      <c r="K5" s="283"/>
      <c r="L5" s="283"/>
      <c r="M5" s="285"/>
      <c r="N5" s="66"/>
      <c r="O5" s="66"/>
      <c r="P5" s="66"/>
      <c r="Q5" s="66"/>
    </row>
    <row r="6" spans="3:17" ht="40.5" customHeight="1" x14ac:dyDescent="0.3">
      <c r="C6" s="66"/>
      <c r="D6" s="166"/>
      <c r="E6" s="165"/>
      <c r="F6" s="167"/>
      <c r="G6" s="276" t="s">
        <v>150</v>
      </c>
      <c r="H6" s="276"/>
      <c r="I6" s="276"/>
      <c r="J6" s="277"/>
      <c r="K6" s="275" t="s">
        <v>149</v>
      </c>
      <c r="L6" s="276"/>
      <c r="M6" s="277"/>
      <c r="N6" s="66"/>
      <c r="O6" s="66"/>
      <c r="P6" s="66"/>
      <c r="Q6" s="66"/>
    </row>
    <row r="7" spans="3:17" ht="43.2" x14ac:dyDescent="0.3">
      <c r="C7" s="66"/>
      <c r="D7" s="281" t="s">
        <v>105</v>
      </c>
      <c r="E7" s="281"/>
      <c r="F7" s="281"/>
      <c r="G7" s="164" t="s">
        <v>15</v>
      </c>
      <c r="H7" s="164" t="s">
        <v>106</v>
      </c>
      <c r="I7" s="164" t="s">
        <v>107</v>
      </c>
      <c r="J7" s="164" t="s">
        <v>108</v>
      </c>
      <c r="K7" s="100">
        <v>2024</v>
      </c>
      <c r="L7" s="100">
        <v>2025</v>
      </c>
      <c r="M7" s="100">
        <v>2026</v>
      </c>
      <c r="N7" s="66"/>
      <c r="O7" s="66"/>
      <c r="P7" s="66"/>
      <c r="Q7" s="66"/>
    </row>
    <row r="8" spans="3:17" ht="28.8" x14ac:dyDescent="0.3">
      <c r="C8" s="66"/>
      <c r="D8" s="102" t="s">
        <v>109</v>
      </c>
      <c r="E8" s="102" t="s">
        <v>110</v>
      </c>
      <c r="F8" s="102" t="s">
        <v>111</v>
      </c>
      <c r="G8" s="100" t="s">
        <v>112</v>
      </c>
      <c r="H8" s="100" t="s">
        <v>112</v>
      </c>
      <c r="I8" s="103">
        <v>0.17499999999999999</v>
      </c>
      <c r="J8" s="104">
        <v>0.45109101248895617</v>
      </c>
      <c r="K8" s="104">
        <f>'CETR Rate'!H7</f>
        <v>2.3498000000000002E-2</v>
      </c>
      <c r="L8" s="104">
        <f>'CETR Rate'!I7</f>
        <v>4.8894E-2</v>
      </c>
      <c r="M8" s="104">
        <f>'CETR Rate'!J7</f>
        <v>4.9645000000000002E-2</v>
      </c>
      <c r="N8" s="115"/>
      <c r="O8" s="111"/>
      <c r="P8" s="66"/>
      <c r="Q8" s="66"/>
    </row>
    <row r="9" spans="3:17" x14ac:dyDescent="0.3">
      <c r="C9" s="66"/>
      <c r="D9" s="107">
        <v>0</v>
      </c>
      <c r="E9" s="108">
        <v>150</v>
      </c>
      <c r="F9" s="108">
        <v>150</v>
      </c>
      <c r="G9" s="109">
        <f>'Rate Summary'!I12</f>
        <v>7</v>
      </c>
      <c r="H9" s="104">
        <f>'Rate Summary'!I16</f>
        <v>0.16</v>
      </c>
      <c r="I9" s="110"/>
      <c r="J9" s="111"/>
      <c r="K9" s="111"/>
      <c r="L9" s="66"/>
      <c r="M9" s="66"/>
      <c r="N9" s="66"/>
      <c r="O9" s="66"/>
      <c r="P9" s="66"/>
      <c r="Q9" s="66"/>
    </row>
    <row r="10" spans="3:17" x14ac:dyDescent="0.3">
      <c r="C10" s="66"/>
      <c r="D10" s="107">
        <v>151</v>
      </c>
      <c r="E10" s="108">
        <v>500</v>
      </c>
      <c r="F10" s="108">
        <v>350</v>
      </c>
      <c r="G10" s="109">
        <f>'Rate Summary'!I13</f>
        <v>12</v>
      </c>
      <c r="H10" s="104">
        <f>'Rate Summary'!I17</f>
        <v>0.19600000000000001</v>
      </c>
      <c r="I10" s="110"/>
      <c r="J10" s="111"/>
      <c r="K10" s="111"/>
      <c r="L10" s="66"/>
      <c r="M10" s="105"/>
      <c r="N10" s="66"/>
      <c r="O10" s="66"/>
      <c r="P10" s="66"/>
      <c r="Q10" s="66"/>
    </row>
    <row r="11" spans="3:17" x14ac:dyDescent="0.3">
      <c r="C11" s="66"/>
      <c r="D11" s="107">
        <v>501</v>
      </c>
      <c r="E11" s="108">
        <v>1500</v>
      </c>
      <c r="F11" s="108">
        <v>1000</v>
      </c>
      <c r="G11" s="109">
        <f>'Rate Summary'!I14</f>
        <v>17</v>
      </c>
      <c r="H11" s="104">
        <f>'Rate Summary'!I18</f>
        <v>0.22500000000000001</v>
      </c>
      <c r="I11" s="110"/>
      <c r="J11" s="111"/>
      <c r="K11" s="111"/>
      <c r="L11" s="66"/>
      <c r="M11" s="66"/>
      <c r="N11" s="66"/>
      <c r="O11" s="66"/>
      <c r="P11" s="66"/>
      <c r="Q11" s="66"/>
    </row>
    <row r="12" spans="3:17" x14ac:dyDescent="0.3">
      <c r="C12" s="66"/>
      <c r="D12" s="107">
        <v>1500</v>
      </c>
      <c r="E12" s="108">
        <v>10000</v>
      </c>
      <c r="F12" s="107"/>
      <c r="G12" s="109">
        <f>G11</f>
        <v>17</v>
      </c>
      <c r="H12" s="104">
        <f>'Rate Summary'!I19</f>
        <v>0.254</v>
      </c>
      <c r="I12" s="110"/>
      <c r="J12" s="111"/>
      <c r="K12" s="111"/>
      <c r="L12" s="66"/>
      <c r="M12" s="66"/>
      <c r="N12" s="66"/>
      <c r="O12" s="66"/>
      <c r="P12" s="66"/>
      <c r="Q12" s="66"/>
    </row>
    <row r="13" spans="3:17" x14ac:dyDescent="0.3">
      <c r="C13" s="66"/>
      <c r="D13" s="66"/>
      <c r="E13" s="66"/>
      <c r="F13" s="66"/>
      <c r="G13" s="111"/>
      <c r="H13" s="111"/>
      <c r="I13" s="111"/>
      <c r="J13" s="111"/>
      <c r="K13" s="111"/>
      <c r="L13" s="66"/>
      <c r="M13" s="66"/>
      <c r="N13" s="66"/>
      <c r="O13" s="66"/>
      <c r="P13" s="66"/>
      <c r="Q13" s="66"/>
    </row>
    <row r="14" spans="3:17" x14ac:dyDescent="0.3"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3:17" x14ac:dyDescent="0.3">
      <c r="C15" s="66"/>
      <c r="D15" s="282" t="s">
        <v>56</v>
      </c>
      <c r="E15" s="283"/>
      <c r="F15" s="283"/>
      <c r="G15" s="279"/>
      <c r="H15" s="279"/>
      <c r="I15" s="279"/>
      <c r="J15" s="279"/>
      <c r="K15" s="279"/>
      <c r="L15" s="279"/>
      <c r="M15" s="279"/>
      <c r="N15" s="66"/>
      <c r="O15" s="66"/>
      <c r="P15" s="66"/>
      <c r="Q15" s="66"/>
    </row>
    <row r="16" spans="3:17" ht="34.200000000000003" customHeight="1" x14ac:dyDescent="0.3">
      <c r="C16" s="66"/>
      <c r="D16" s="165"/>
      <c r="E16" s="165"/>
      <c r="F16" s="165"/>
      <c r="G16" s="284" t="s">
        <v>150</v>
      </c>
      <c r="H16" s="284"/>
      <c r="I16" s="284"/>
      <c r="J16" s="284"/>
      <c r="K16" s="275" t="s">
        <v>149</v>
      </c>
      <c r="L16" s="276"/>
      <c r="M16" s="277"/>
      <c r="N16" s="66"/>
      <c r="O16" s="66"/>
      <c r="P16" s="66"/>
      <c r="Q16" s="66"/>
    </row>
    <row r="17" spans="3:17" ht="43.2" x14ac:dyDescent="0.3">
      <c r="C17" s="66"/>
      <c r="D17" s="281" t="s">
        <v>105</v>
      </c>
      <c r="E17" s="281"/>
      <c r="F17" s="281"/>
      <c r="G17" s="100" t="s">
        <v>15</v>
      </c>
      <c r="H17" s="100" t="s">
        <v>106</v>
      </c>
      <c r="I17" s="100" t="s">
        <v>107</v>
      </c>
      <c r="J17" s="100" t="s">
        <v>108</v>
      </c>
      <c r="K17" s="100">
        <v>2024</v>
      </c>
      <c r="L17" s="100">
        <v>2025</v>
      </c>
      <c r="M17" s="100">
        <v>2026</v>
      </c>
      <c r="N17" s="66"/>
      <c r="O17" s="66"/>
      <c r="P17" s="66"/>
      <c r="Q17" s="66"/>
    </row>
    <row r="18" spans="3:17" ht="28.8" x14ac:dyDescent="0.3">
      <c r="C18" s="66"/>
      <c r="D18" s="102" t="s">
        <v>109</v>
      </c>
      <c r="E18" s="102" t="s">
        <v>110</v>
      </c>
      <c r="F18" s="102" t="s">
        <v>111</v>
      </c>
      <c r="G18" s="100" t="s">
        <v>112</v>
      </c>
      <c r="H18" s="100" t="s">
        <v>112</v>
      </c>
      <c r="I18" s="103">
        <v>0.17499999999999999</v>
      </c>
      <c r="J18" s="104">
        <f>J8</f>
        <v>0.45109101248895617</v>
      </c>
      <c r="K18" s="104">
        <f>'CETR Rate'!H8</f>
        <v>2.3498000000000002E-2</v>
      </c>
      <c r="L18" s="104">
        <f>'CETR Rate'!I8</f>
        <v>4.8894E-2</v>
      </c>
      <c r="M18" s="104">
        <f>'CETR Rate'!J8</f>
        <v>4.9645000000000002E-2</v>
      </c>
      <c r="N18" s="66"/>
      <c r="O18" s="66"/>
      <c r="P18" s="66"/>
      <c r="Q18" s="66"/>
    </row>
    <row r="19" spans="3:17" x14ac:dyDescent="0.3">
      <c r="C19" s="66"/>
      <c r="D19" s="107">
        <v>0</v>
      </c>
      <c r="E19" s="108">
        <v>150</v>
      </c>
      <c r="F19" s="108">
        <v>150</v>
      </c>
      <c r="G19" s="109"/>
      <c r="H19" s="104">
        <f>'Rate Summary'!I24</f>
        <v>0.13341789607515658</v>
      </c>
      <c r="I19" s="110"/>
      <c r="J19" s="111"/>
      <c r="K19" s="111"/>
      <c r="L19" s="66"/>
      <c r="M19" s="66"/>
      <c r="N19" s="66"/>
      <c r="O19" s="66"/>
      <c r="P19" s="66"/>
      <c r="Q19" s="66"/>
    </row>
    <row r="20" spans="3:17" x14ac:dyDescent="0.3">
      <c r="C20" s="66"/>
      <c r="D20" s="107">
        <v>151</v>
      </c>
      <c r="E20" s="108">
        <v>500</v>
      </c>
      <c r="F20" s="108">
        <v>350</v>
      </c>
      <c r="G20" s="109"/>
      <c r="H20" s="104">
        <f>'Rate Summary'!I25</f>
        <v>0.15748000000000001</v>
      </c>
      <c r="I20" s="110"/>
      <c r="J20" s="111"/>
      <c r="K20" s="111"/>
      <c r="L20" s="66"/>
      <c r="M20" s="66"/>
      <c r="N20" s="66"/>
      <c r="O20" s="66"/>
      <c r="P20" s="66"/>
      <c r="Q20" s="66"/>
    </row>
    <row r="21" spans="3:17" x14ac:dyDescent="0.3">
      <c r="C21" s="66"/>
      <c r="D21" s="107">
        <v>501</v>
      </c>
      <c r="E21" s="108">
        <v>1500</v>
      </c>
      <c r="F21" s="108">
        <v>1000</v>
      </c>
      <c r="G21" s="109"/>
      <c r="H21" s="104">
        <f>'Rate Summary'!I26</f>
        <v>0.2268</v>
      </c>
      <c r="I21" s="110"/>
      <c r="J21" s="111"/>
      <c r="K21" s="111"/>
      <c r="L21" s="66"/>
      <c r="M21" s="66"/>
      <c r="N21" s="66"/>
      <c r="O21" s="66"/>
      <c r="P21" s="66"/>
      <c r="Q21" s="66"/>
    </row>
    <row r="22" spans="3:17" x14ac:dyDescent="0.3">
      <c r="C22" s="66"/>
      <c r="D22" s="107">
        <v>1500</v>
      </c>
      <c r="E22" s="108">
        <v>10000</v>
      </c>
      <c r="F22" s="107"/>
      <c r="G22" s="109"/>
      <c r="H22" s="104">
        <f>'Rate Summary'!I27</f>
        <v>0.25452000000000002</v>
      </c>
      <c r="I22" s="110"/>
      <c r="J22" s="111"/>
      <c r="K22" s="111"/>
      <c r="L22" s="66"/>
      <c r="M22" s="66"/>
      <c r="N22" s="66"/>
      <c r="O22" s="66"/>
      <c r="P22" s="66"/>
      <c r="Q22" s="66"/>
    </row>
    <row r="23" spans="3:17" x14ac:dyDescent="0.3"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3:17" x14ac:dyDescent="0.3"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3:17" x14ac:dyDescent="0.3">
      <c r="C25" s="66"/>
      <c r="D25" s="282" t="s">
        <v>2</v>
      </c>
      <c r="E25" s="283"/>
      <c r="F25" s="283"/>
      <c r="G25" s="279"/>
      <c r="H25" s="279"/>
      <c r="I25" s="279"/>
      <c r="J25" s="279"/>
      <c r="K25" s="279"/>
      <c r="L25" s="279"/>
      <c r="M25" s="279"/>
      <c r="N25" s="66"/>
      <c r="O25" s="66"/>
      <c r="P25" s="66"/>
      <c r="Q25" s="66"/>
    </row>
    <row r="26" spans="3:17" ht="29.4" customHeight="1" x14ac:dyDescent="0.3">
      <c r="C26" s="66"/>
      <c r="D26" s="166"/>
      <c r="E26" s="165"/>
      <c r="F26" s="165"/>
      <c r="G26" s="284" t="s">
        <v>150</v>
      </c>
      <c r="H26" s="284"/>
      <c r="I26" s="284"/>
      <c r="J26" s="284"/>
      <c r="K26" s="275" t="s">
        <v>149</v>
      </c>
      <c r="L26" s="276"/>
      <c r="M26" s="277"/>
      <c r="N26" s="66"/>
      <c r="O26" s="66"/>
      <c r="P26" s="66"/>
      <c r="Q26" s="66"/>
    </row>
    <row r="27" spans="3:17" ht="43.2" x14ac:dyDescent="0.3">
      <c r="C27" s="66"/>
      <c r="D27" s="281" t="s">
        <v>105</v>
      </c>
      <c r="E27" s="281"/>
      <c r="F27" s="281"/>
      <c r="G27" s="100" t="s">
        <v>15</v>
      </c>
      <c r="H27" s="100" t="s">
        <v>106</v>
      </c>
      <c r="I27" s="100" t="s">
        <v>107</v>
      </c>
      <c r="J27" s="100" t="s">
        <v>108</v>
      </c>
      <c r="K27" s="100">
        <v>2024</v>
      </c>
      <c r="L27" s="100">
        <v>2025</v>
      </c>
      <c r="M27" s="100">
        <v>2026</v>
      </c>
      <c r="N27" s="66"/>
      <c r="O27" s="66"/>
      <c r="P27" s="66"/>
      <c r="Q27" s="66"/>
    </row>
    <row r="28" spans="3:17" ht="28.8" x14ac:dyDescent="0.3">
      <c r="C28" s="66"/>
      <c r="D28" s="102" t="s">
        <v>109</v>
      </c>
      <c r="E28" s="102" t="s">
        <v>110</v>
      </c>
      <c r="F28" s="102" t="s">
        <v>111</v>
      </c>
      <c r="G28" s="100" t="s">
        <v>112</v>
      </c>
      <c r="H28" s="100" t="s">
        <v>112</v>
      </c>
      <c r="I28" s="129">
        <v>0.17499999999999999</v>
      </c>
      <c r="J28" s="130">
        <f>J18</f>
        <v>0.45109101248895617</v>
      </c>
      <c r="K28" s="104">
        <f>'CETR Rate'!H9</f>
        <v>2.3498000000000002E-2</v>
      </c>
      <c r="L28" s="104">
        <f>'CETR Rate'!I9</f>
        <v>4.8894E-2</v>
      </c>
      <c r="M28" s="104">
        <f>'CETR Rate'!J9</f>
        <v>4.9645000000000002E-2</v>
      </c>
      <c r="N28" s="66"/>
      <c r="O28" s="66"/>
      <c r="P28" s="66"/>
      <c r="Q28" s="66"/>
    </row>
    <row r="29" spans="3:17" x14ac:dyDescent="0.3">
      <c r="C29" s="66"/>
      <c r="D29" s="107">
        <v>0</v>
      </c>
      <c r="E29" s="108">
        <v>150</v>
      </c>
      <c r="F29" s="108">
        <v>150</v>
      </c>
      <c r="G29" s="109">
        <f>'Rate Summary'!I30</f>
        <v>10</v>
      </c>
      <c r="H29" s="104">
        <f>'Rate Summary'!I34</f>
        <v>0.19400000000000001</v>
      </c>
      <c r="I29" s="110"/>
      <c r="J29" s="111"/>
      <c r="L29" s="66"/>
      <c r="M29" s="66"/>
      <c r="N29" s="66"/>
      <c r="O29" s="66"/>
      <c r="P29" s="66"/>
      <c r="Q29" s="66"/>
    </row>
    <row r="30" spans="3:17" x14ac:dyDescent="0.3">
      <c r="C30" s="66"/>
      <c r="D30" s="107">
        <v>151</v>
      </c>
      <c r="E30" s="108">
        <v>500</v>
      </c>
      <c r="F30" s="108">
        <v>350</v>
      </c>
      <c r="G30" s="109">
        <f>'Rate Summary'!I31</f>
        <v>13</v>
      </c>
      <c r="H30" s="104">
        <f>'Rate Summary'!I35</f>
        <v>0.23699999999999999</v>
      </c>
      <c r="I30" s="110"/>
      <c r="J30" s="111"/>
      <c r="K30" s="111"/>
      <c r="L30" s="66"/>
      <c r="M30" s="66"/>
      <c r="N30" s="66"/>
      <c r="O30" s="66"/>
      <c r="P30" s="66"/>
      <c r="Q30" s="66"/>
    </row>
    <row r="31" spans="3:17" x14ac:dyDescent="0.3">
      <c r="C31" s="66"/>
      <c r="D31" s="107">
        <v>501</v>
      </c>
      <c r="E31" s="108">
        <v>1500</v>
      </c>
      <c r="F31" s="108">
        <v>1000</v>
      </c>
      <c r="G31" s="109">
        <f>'Rate Summary'!I32</f>
        <v>19</v>
      </c>
      <c r="H31" s="104">
        <f>'Rate Summary'!I36</f>
        <v>0.28399999999999997</v>
      </c>
      <c r="I31" s="110"/>
      <c r="J31" s="111"/>
      <c r="K31" s="111"/>
      <c r="L31" s="66"/>
      <c r="M31" s="66"/>
      <c r="N31" s="66"/>
      <c r="O31" s="66"/>
      <c r="P31" s="66"/>
      <c r="Q31" s="66"/>
    </row>
    <row r="32" spans="3:17" x14ac:dyDescent="0.3">
      <c r="C32" s="66"/>
      <c r="D32" s="107">
        <v>1500</v>
      </c>
      <c r="E32" s="108">
        <v>10000</v>
      </c>
      <c r="F32" s="107"/>
      <c r="G32" s="109">
        <f>G31</f>
        <v>19</v>
      </c>
      <c r="H32" s="104">
        <f>'Rate Summary'!I37</f>
        <v>0.32</v>
      </c>
      <c r="I32" s="110"/>
      <c r="J32" s="111"/>
      <c r="K32" s="111"/>
      <c r="L32" s="66"/>
      <c r="M32" s="66"/>
      <c r="N32" s="66"/>
      <c r="O32" s="66"/>
      <c r="P32" s="66"/>
      <c r="Q32" s="66"/>
    </row>
    <row r="33" spans="3:17" x14ac:dyDescent="0.3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3:17" x14ac:dyDescent="0.3">
      <c r="C34" s="66"/>
      <c r="D34" s="66"/>
      <c r="E34" s="278" t="s">
        <v>150</v>
      </c>
      <c r="F34" s="279"/>
      <c r="G34" s="279"/>
      <c r="H34" s="279"/>
      <c r="I34" s="280"/>
      <c r="J34" s="275" t="s">
        <v>149</v>
      </c>
      <c r="K34" s="276"/>
      <c r="L34" s="277"/>
      <c r="M34" s="66"/>
      <c r="N34" s="66"/>
      <c r="O34" s="66"/>
      <c r="P34" s="66"/>
      <c r="Q34" s="66"/>
    </row>
    <row r="35" spans="3:17" ht="43.2" x14ac:dyDescent="0.3">
      <c r="C35" s="66"/>
      <c r="D35" s="68"/>
      <c r="E35" s="117" t="s">
        <v>15</v>
      </c>
      <c r="F35" s="117" t="s">
        <v>106</v>
      </c>
      <c r="G35" s="117" t="s">
        <v>114</v>
      </c>
      <c r="H35" s="100" t="s">
        <v>107</v>
      </c>
      <c r="I35" s="100" t="s">
        <v>108</v>
      </c>
      <c r="J35" s="100">
        <v>2024</v>
      </c>
      <c r="K35" s="100">
        <v>2025</v>
      </c>
      <c r="L35" s="100">
        <v>2026</v>
      </c>
      <c r="M35" s="66"/>
      <c r="N35" s="66"/>
      <c r="O35" s="66"/>
      <c r="P35" s="66"/>
      <c r="Q35" s="66"/>
    </row>
    <row r="36" spans="3:17" x14ac:dyDescent="0.3">
      <c r="C36" s="66"/>
      <c r="D36" s="125" t="s">
        <v>4</v>
      </c>
      <c r="E36" s="118">
        <f>'Rate Summary'!I40</f>
        <v>94.5</v>
      </c>
      <c r="F36" s="118">
        <f>'Rate Summary'!I42</f>
        <v>0.13800000000000001</v>
      </c>
      <c r="G36" s="118">
        <f>'Rate Summary'!I41</f>
        <v>26.41</v>
      </c>
      <c r="H36" s="116">
        <v>0.17499999999999999</v>
      </c>
      <c r="I36" s="104">
        <f>J28</f>
        <v>0.45109101248895617</v>
      </c>
      <c r="J36" s="104">
        <f>'CETR Rate'!H11</f>
        <v>2.3282000000000001E-2</v>
      </c>
      <c r="K36" s="104">
        <f>'CETR Rate'!I11</f>
        <v>4.8445000000000002E-2</v>
      </c>
      <c r="L36" s="104">
        <f>'CETR Rate'!J11</f>
        <v>4.9188999999999997E-2</v>
      </c>
      <c r="M36" s="66"/>
      <c r="N36" s="66"/>
      <c r="O36" s="66"/>
      <c r="P36" s="66"/>
      <c r="Q36" s="66"/>
    </row>
    <row r="37" spans="3:17" x14ac:dyDescent="0.3">
      <c r="C37" s="66"/>
      <c r="D37" s="125" t="s">
        <v>3</v>
      </c>
      <c r="E37" s="118">
        <f>'Rate Summary'!I45</f>
        <v>943.5</v>
      </c>
      <c r="F37" s="118">
        <f>'Rate Summary'!I47</f>
        <v>0.11700000000000001</v>
      </c>
      <c r="G37" s="118">
        <f>'Rate Summary'!I46</f>
        <v>27.65</v>
      </c>
      <c r="H37" s="66"/>
      <c r="I37" s="66"/>
      <c r="J37" s="104">
        <f>'CETR Rate'!H10</f>
        <v>2.3095000000000001E-2</v>
      </c>
      <c r="K37" s="104">
        <f>'CETR Rate'!I10</f>
        <v>4.8055E-2</v>
      </c>
      <c r="L37" s="104">
        <f>'CETR Rate'!J10</f>
        <v>4.8793000000000003E-2</v>
      </c>
      <c r="M37" s="66"/>
      <c r="N37" s="66"/>
      <c r="O37" s="66"/>
      <c r="P37" s="66"/>
      <c r="Q37" s="66"/>
    </row>
    <row r="38" spans="3:17" x14ac:dyDescent="0.3"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3:17" x14ac:dyDescent="0.3">
      <c r="C39" s="66"/>
      <c r="D39" s="131" t="s">
        <v>5</v>
      </c>
      <c r="E39" s="132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3:17" x14ac:dyDescent="0.3">
      <c r="C40" s="66"/>
      <c r="D40" s="124" t="s">
        <v>115</v>
      </c>
      <c r="E40" s="12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3:17" x14ac:dyDescent="0.3">
      <c r="C41" s="66"/>
      <c r="D41" s="120" t="s">
        <v>116</v>
      </c>
      <c r="E41" s="126">
        <f>'Rate Summary'!I50</f>
        <v>300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3:17" x14ac:dyDescent="0.3">
      <c r="C42" s="66"/>
      <c r="D42" s="119" t="s">
        <v>121</v>
      </c>
      <c r="E42" s="12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3:17" x14ac:dyDescent="0.3">
      <c r="C43" s="66"/>
      <c r="D43" s="121" t="s">
        <v>117</v>
      </c>
      <c r="E43" s="126">
        <f>'Rate Summary'!I53</f>
        <v>0.219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3:17" x14ac:dyDescent="0.3">
      <c r="C44" s="66"/>
      <c r="D44" s="121" t="s">
        <v>118</v>
      </c>
      <c r="E44" s="126">
        <f>'Rate Summary'!I54</f>
        <v>6.2E-2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3:17" x14ac:dyDescent="0.3">
      <c r="C45" s="66"/>
      <c r="D45" s="119" t="s">
        <v>122</v>
      </c>
      <c r="E45" s="12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3:17" x14ac:dyDescent="0.3">
      <c r="C46" s="66"/>
      <c r="D46" s="122" t="s">
        <v>119</v>
      </c>
      <c r="E46" s="126">
        <f>'Rate Summary'!I51</f>
        <v>18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3:17" x14ac:dyDescent="0.3">
      <c r="C47" s="66"/>
      <c r="D47" s="123" t="s">
        <v>120</v>
      </c>
      <c r="E47" s="10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3:17" x14ac:dyDescent="0.3">
      <c r="C48" s="66"/>
      <c r="D48" s="121" t="s">
        <v>117</v>
      </c>
      <c r="E48" s="127">
        <v>1.1200000000000001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3:17" x14ac:dyDescent="0.3">
      <c r="C49" s="66"/>
      <c r="D49" s="121" t="s">
        <v>118</v>
      </c>
      <c r="E49" s="127">
        <v>0.92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3:17" x14ac:dyDescent="0.3">
      <c r="C50" s="66"/>
      <c r="D50" s="121" t="s">
        <v>107</v>
      </c>
      <c r="E50" s="209">
        <f>H36</f>
        <v>0.17499999999999999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3:17" x14ac:dyDescent="0.3">
      <c r="C51" s="66"/>
      <c r="D51" s="121"/>
      <c r="E51" s="210">
        <v>2024</v>
      </c>
      <c r="F51" s="210">
        <v>2025</v>
      </c>
      <c r="G51" s="210">
        <v>2026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3:17" x14ac:dyDescent="0.3">
      <c r="C52" s="66"/>
      <c r="D52" s="121" t="s">
        <v>18</v>
      </c>
      <c r="E52" s="128">
        <f>'CETR Rate'!H12</f>
        <v>2.3095000000000001E-2</v>
      </c>
      <c r="F52" s="128">
        <f>'CETR Rate'!I12</f>
        <v>4.8055E-2</v>
      </c>
      <c r="G52" s="128">
        <f>'CETR Rate'!J12</f>
        <v>4.8793000000000003E-2</v>
      </c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3:17" x14ac:dyDescent="0.3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3:17" x14ac:dyDescent="0.3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3:17" x14ac:dyDescent="0.3">
      <c r="C55" s="66"/>
      <c r="D55" s="66"/>
      <c r="E55" s="275" t="s">
        <v>150</v>
      </c>
      <c r="F55" s="276"/>
      <c r="G55" s="277"/>
      <c r="H55" s="275" t="s">
        <v>149</v>
      </c>
      <c r="I55" s="276"/>
      <c r="J55" s="277"/>
      <c r="K55" s="66"/>
      <c r="L55" s="66"/>
      <c r="M55" s="66"/>
      <c r="N55" s="66"/>
      <c r="O55" s="66"/>
      <c r="P55" s="66"/>
      <c r="Q55" s="66"/>
    </row>
    <row r="56" spans="3:17" ht="43.2" x14ac:dyDescent="0.3">
      <c r="C56" s="66"/>
      <c r="D56" s="66"/>
      <c r="E56" s="117" t="s">
        <v>15</v>
      </c>
      <c r="F56" s="100" t="s">
        <v>107</v>
      </c>
      <c r="G56" s="100" t="s">
        <v>108</v>
      </c>
      <c r="H56" s="100">
        <v>2024</v>
      </c>
      <c r="I56" s="100">
        <v>2025</v>
      </c>
      <c r="J56" s="100">
        <v>2026</v>
      </c>
      <c r="K56" s="66"/>
      <c r="L56" s="66"/>
      <c r="M56" s="66"/>
      <c r="N56" s="66"/>
      <c r="O56" s="66"/>
      <c r="P56" s="66"/>
      <c r="Q56" s="66"/>
    </row>
    <row r="57" spans="3:17" x14ac:dyDescent="0.3">
      <c r="C57" s="66"/>
      <c r="D57" s="125" t="s">
        <v>6</v>
      </c>
      <c r="E57" s="118">
        <f>'Rate Summary'!I60</f>
        <v>7.04</v>
      </c>
      <c r="F57" s="116">
        <v>0.17499999999999999</v>
      </c>
      <c r="G57" s="104">
        <f>I36</f>
        <v>0.45109101248895617</v>
      </c>
      <c r="H57" s="104">
        <f>'CETR Rate'!H13</f>
        <v>2.3498000000000002E-2</v>
      </c>
      <c r="I57" s="104">
        <f>'CETR Rate'!I13</f>
        <v>4.8894E-2</v>
      </c>
      <c r="J57" s="104">
        <f>'CETR Rate'!J13</f>
        <v>4.9645000000000002E-2</v>
      </c>
      <c r="K57" s="66"/>
      <c r="L57" s="66"/>
      <c r="M57" s="66"/>
      <c r="N57" s="66"/>
      <c r="O57" s="66"/>
      <c r="P57" s="66"/>
      <c r="Q57" s="66"/>
    </row>
    <row r="58" spans="3:17" x14ac:dyDescent="0.3"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3:17" x14ac:dyDescent="0.3"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</sheetData>
  <mergeCells count="16">
    <mergeCell ref="D7:F7"/>
    <mergeCell ref="K6:M6"/>
    <mergeCell ref="D5:M5"/>
    <mergeCell ref="G6:J6"/>
    <mergeCell ref="K16:M16"/>
    <mergeCell ref="G16:J16"/>
    <mergeCell ref="D15:M15"/>
    <mergeCell ref="H55:J55"/>
    <mergeCell ref="E55:G55"/>
    <mergeCell ref="J34:L34"/>
    <mergeCell ref="E34:I34"/>
    <mergeCell ref="D17:F17"/>
    <mergeCell ref="D27:F27"/>
    <mergeCell ref="K26:M26"/>
    <mergeCell ref="D25:M25"/>
    <mergeCell ref="G26:J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1AF2-C7B9-4C3C-AE93-08C73053B77C}">
  <dimension ref="A1:L83"/>
  <sheetViews>
    <sheetView topLeftCell="E1" workbookViewId="0">
      <selection activeCell="F4" sqref="F4"/>
    </sheetView>
  </sheetViews>
  <sheetFormatPr defaultColWidth="9.109375" defaultRowHeight="14.4" outlineLevelCol="1" x14ac:dyDescent="0.3"/>
  <cols>
    <col min="1" max="1" width="50.6640625" style="15" hidden="1" customWidth="1" outlineLevel="1"/>
    <col min="2" max="2" width="19.88671875" style="16" hidden="1" customWidth="1" outlineLevel="1"/>
    <col min="3" max="3" width="17.88671875" style="16" hidden="1" customWidth="1" outlineLevel="1"/>
    <col min="4" max="4" width="50.88671875" style="16" hidden="1" customWidth="1" outlineLevel="1"/>
    <col min="5" max="5" width="9.21875" customWidth="1" collapsed="1"/>
    <col min="6" max="6" width="37.6640625" bestFit="1" customWidth="1"/>
    <col min="7" max="7" width="26.5546875" style="17" bestFit="1" customWidth="1"/>
    <col min="8" max="8" width="32.33203125" style="53" bestFit="1" customWidth="1"/>
    <col min="9" max="9" width="17.88671875" style="54" customWidth="1"/>
    <col min="10" max="10" width="15.33203125" customWidth="1"/>
    <col min="11" max="11" width="12.33203125" customWidth="1"/>
    <col min="12" max="12" width="14.6640625" customWidth="1"/>
  </cols>
  <sheetData>
    <row r="1" spans="1:12" x14ac:dyDescent="0.3">
      <c r="H1" s="17"/>
      <c r="I1" s="17"/>
    </row>
    <row r="2" spans="1:12" x14ac:dyDescent="0.3">
      <c r="A2" s="15" t="s">
        <v>19</v>
      </c>
      <c r="B2" s="16" t="s">
        <v>20</v>
      </c>
      <c r="C2" s="16" t="s">
        <v>21</v>
      </c>
      <c r="D2" s="16" t="s">
        <v>22</v>
      </c>
      <c r="F2" s="18" t="s">
        <v>23</v>
      </c>
      <c r="G2"/>
      <c r="H2" s="19"/>
      <c r="I2" s="20"/>
    </row>
    <row r="3" spans="1:12" ht="15" thickBot="1" x14ac:dyDescent="0.35">
      <c r="F3" s="18" t="str">
        <f>"SUMMARY OF CURRENT &amp; PROPOSED TARIFFS"&amp;"-"&amp;'CETR Rate'!I3</f>
        <v>SUMMARY OF CURRENT &amp; PROPOSED TARIFFS-Battery Energy Storage Systems</v>
      </c>
      <c r="G3"/>
      <c r="H3" s="21"/>
      <c r="I3" s="20"/>
      <c r="J3" s="22"/>
    </row>
    <row r="4" spans="1:12" x14ac:dyDescent="0.3">
      <c r="A4" s="15" t="s">
        <v>24</v>
      </c>
      <c r="F4" s="23"/>
      <c r="G4" s="24"/>
      <c r="H4" s="25"/>
      <c r="I4" s="26"/>
      <c r="J4" s="237"/>
      <c r="K4" s="23"/>
      <c r="L4" s="226"/>
    </row>
    <row r="5" spans="1:12" x14ac:dyDescent="0.3">
      <c r="A5" s="15" t="s">
        <v>24</v>
      </c>
      <c r="F5" s="27"/>
      <c r="G5" s="28"/>
      <c r="H5" s="29"/>
      <c r="I5" s="18"/>
      <c r="J5" s="238"/>
      <c r="K5" s="223"/>
      <c r="L5" s="217"/>
    </row>
    <row r="6" spans="1:12" x14ac:dyDescent="0.3">
      <c r="A6" s="15" t="s">
        <v>24</v>
      </c>
      <c r="F6" s="27"/>
      <c r="G6" s="28"/>
      <c r="H6" s="29"/>
      <c r="I6" s="18"/>
      <c r="J6" s="238"/>
      <c r="K6" s="223"/>
      <c r="L6" s="217"/>
    </row>
    <row r="7" spans="1:12" x14ac:dyDescent="0.3">
      <c r="A7" s="15" t="s">
        <v>24</v>
      </c>
      <c r="F7" s="30" t="s">
        <v>25</v>
      </c>
      <c r="G7" s="31" t="s">
        <v>26</v>
      </c>
      <c r="H7" s="32"/>
      <c r="I7" s="31" t="s">
        <v>28</v>
      </c>
      <c r="J7" s="239" t="s">
        <v>27</v>
      </c>
      <c r="K7" s="30" t="s">
        <v>27</v>
      </c>
      <c r="L7" s="218" t="s">
        <v>27</v>
      </c>
    </row>
    <row r="8" spans="1:12" x14ac:dyDescent="0.3">
      <c r="A8" s="15" t="s">
        <v>24</v>
      </c>
      <c r="F8" s="33"/>
      <c r="G8" s="34"/>
      <c r="H8" s="35"/>
      <c r="I8" s="36" t="s">
        <v>29</v>
      </c>
      <c r="J8" s="36" t="s">
        <v>29</v>
      </c>
      <c r="K8" s="224" t="s">
        <v>29</v>
      </c>
      <c r="L8" s="219" t="s">
        <v>29</v>
      </c>
    </row>
    <row r="9" spans="1:12" x14ac:dyDescent="0.3">
      <c r="A9" s="15" t="s">
        <v>24</v>
      </c>
      <c r="F9" s="27"/>
      <c r="G9" s="28"/>
      <c r="H9" s="35" t="s">
        <v>30</v>
      </c>
      <c r="I9" s="36" t="s">
        <v>31</v>
      </c>
      <c r="J9" s="36" t="s">
        <v>31</v>
      </c>
      <c r="K9" s="224" t="s">
        <v>31</v>
      </c>
      <c r="L9" s="219" t="s">
        <v>31</v>
      </c>
    </row>
    <row r="10" spans="1:12" x14ac:dyDescent="0.3">
      <c r="A10" s="15" t="s">
        <v>24</v>
      </c>
      <c r="F10" s="37"/>
      <c r="G10" s="38"/>
      <c r="H10" s="39"/>
      <c r="I10" s="222" t="s">
        <v>153</v>
      </c>
      <c r="J10" s="220">
        <v>2024</v>
      </c>
      <c r="K10" s="225">
        <v>2025</v>
      </c>
      <c r="L10" s="221">
        <v>2026</v>
      </c>
    </row>
    <row r="11" spans="1:12" x14ac:dyDescent="0.3">
      <c r="A11" s="15" t="s">
        <v>24</v>
      </c>
      <c r="F11" s="57" t="s">
        <v>0</v>
      </c>
      <c r="G11" s="56"/>
      <c r="H11" s="55"/>
      <c r="I11" s="58"/>
      <c r="J11" s="58"/>
      <c r="K11" s="58"/>
      <c r="L11" s="58"/>
    </row>
    <row r="12" spans="1:12" x14ac:dyDescent="0.3">
      <c r="A12" s="15" t="s">
        <v>24</v>
      </c>
      <c r="F12" s="245"/>
      <c r="G12" s="34" t="s">
        <v>32</v>
      </c>
      <c r="H12" s="40" t="s">
        <v>33</v>
      </c>
      <c r="I12" s="43">
        <v>7</v>
      </c>
      <c r="J12" s="43">
        <v>7</v>
      </c>
      <c r="K12" s="43">
        <v>7</v>
      </c>
      <c r="L12" s="43">
        <v>7</v>
      </c>
    </row>
    <row r="13" spans="1:12" x14ac:dyDescent="0.3">
      <c r="A13" s="15" t="s">
        <v>24</v>
      </c>
      <c r="F13" s="245"/>
      <c r="G13" s="34"/>
      <c r="H13" s="40" t="s">
        <v>34</v>
      </c>
      <c r="I13" s="43">
        <v>12</v>
      </c>
      <c r="J13" s="43">
        <v>12</v>
      </c>
      <c r="K13" s="43">
        <v>12</v>
      </c>
      <c r="L13" s="43">
        <v>12</v>
      </c>
    </row>
    <row r="14" spans="1:12" x14ac:dyDescent="0.3">
      <c r="A14" s="15" t="s">
        <v>24</v>
      </c>
      <c r="F14" s="245"/>
      <c r="G14" s="34"/>
      <c r="H14" s="40" t="s">
        <v>35</v>
      </c>
      <c r="I14" s="43">
        <v>17</v>
      </c>
      <c r="J14" s="43">
        <v>17</v>
      </c>
      <c r="K14" s="43">
        <v>17</v>
      </c>
      <c r="L14" s="43">
        <v>17</v>
      </c>
    </row>
    <row r="15" spans="1:12" x14ac:dyDescent="0.3">
      <c r="A15" s="15" t="s">
        <v>36</v>
      </c>
      <c r="D15" s="16" t="s">
        <v>37</v>
      </c>
      <c r="F15" s="245"/>
      <c r="G15" s="34" t="s">
        <v>38</v>
      </c>
      <c r="H15" s="44" t="s">
        <v>39</v>
      </c>
      <c r="I15" s="45" t="s">
        <v>40</v>
      </c>
      <c r="J15" s="45" t="s">
        <v>40</v>
      </c>
      <c r="K15" s="45" t="s">
        <v>40</v>
      </c>
      <c r="L15" s="45" t="s">
        <v>40</v>
      </c>
    </row>
    <row r="16" spans="1:12" x14ac:dyDescent="0.3">
      <c r="A16" s="15" t="s">
        <v>41</v>
      </c>
      <c r="B16" s="16" t="s">
        <v>42</v>
      </c>
      <c r="C16" s="16" t="s">
        <v>43</v>
      </c>
      <c r="D16" s="16" t="s">
        <v>44</v>
      </c>
      <c r="F16" s="245"/>
      <c r="G16" s="34" t="s">
        <v>45</v>
      </c>
      <c r="H16" s="40" t="s">
        <v>46</v>
      </c>
      <c r="I16" s="46">
        <v>0.16</v>
      </c>
      <c r="J16" s="46">
        <v>0.16</v>
      </c>
      <c r="K16" s="46">
        <v>0.16</v>
      </c>
      <c r="L16" s="46">
        <v>0.16</v>
      </c>
    </row>
    <row r="17" spans="1:12" x14ac:dyDescent="0.3">
      <c r="A17" s="15" t="s">
        <v>47</v>
      </c>
      <c r="B17" s="16" t="s">
        <v>42</v>
      </c>
      <c r="C17" s="16" t="s">
        <v>43</v>
      </c>
      <c r="D17" s="16" t="s">
        <v>48</v>
      </c>
      <c r="F17" s="245"/>
      <c r="G17" s="34"/>
      <c r="H17" s="40" t="s">
        <v>49</v>
      </c>
      <c r="I17" s="46">
        <v>0.19600000000000001</v>
      </c>
      <c r="J17" s="46">
        <v>0.19600000000000001</v>
      </c>
      <c r="K17" s="46">
        <v>0.19600000000000001</v>
      </c>
      <c r="L17" s="46">
        <v>0.19600000000000001</v>
      </c>
    </row>
    <row r="18" spans="1:12" x14ac:dyDescent="0.3">
      <c r="A18" s="15" t="s">
        <v>50</v>
      </c>
      <c r="B18" s="16" t="s">
        <v>42</v>
      </c>
      <c r="C18" s="16" t="s">
        <v>43</v>
      </c>
      <c r="D18" s="16" t="s">
        <v>51</v>
      </c>
      <c r="F18" s="245"/>
      <c r="G18" s="34"/>
      <c r="H18" s="40" t="s">
        <v>52</v>
      </c>
      <c r="I18" s="46">
        <v>0.22500000000000001</v>
      </c>
      <c r="J18" s="46">
        <v>0.22500000000000001</v>
      </c>
      <c r="K18" s="46">
        <v>0.22500000000000001</v>
      </c>
      <c r="L18" s="46">
        <v>0.22500000000000001</v>
      </c>
    </row>
    <row r="19" spans="1:12" x14ac:dyDescent="0.3">
      <c r="A19" s="15" t="s">
        <v>53</v>
      </c>
      <c r="B19" s="16" t="s">
        <v>42</v>
      </c>
      <c r="C19" s="16" t="s">
        <v>43</v>
      </c>
      <c r="D19" s="16" t="s">
        <v>54</v>
      </c>
      <c r="F19" s="245"/>
      <c r="G19" s="42"/>
      <c r="H19" s="40" t="s">
        <v>55</v>
      </c>
      <c r="I19" s="46">
        <v>0.254</v>
      </c>
      <c r="J19" s="46">
        <v>0.254</v>
      </c>
      <c r="K19" s="46">
        <v>0.254</v>
      </c>
      <c r="L19" s="46">
        <v>0.254</v>
      </c>
    </row>
    <row r="20" spans="1:12" x14ac:dyDescent="0.3">
      <c r="F20" s="47"/>
      <c r="G20" s="48" t="s">
        <v>94</v>
      </c>
      <c r="H20" s="61" t="s">
        <v>83</v>
      </c>
      <c r="I20" s="62" t="s">
        <v>40</v>
      </c>
      <c r="J20" s="63">
        <f>'CETR Rate'!H7</f>
        <v>2.3498000000000002E-2</v>
      </c>
      <c r="K20" s="63">
        <f>'CETR Rate'!I7</f>
        <v>4.8894E-2</v>
      </c>
      <c r="L20" s="63">
        <f>'CETR Rate'!J7</f>
        <v>4.9645000000000002E-2</v>
      </c>
    </row>
    <row r="21" spans="1:12" x14ac:dyDescent="0.3">
      <c r="A21" s="15" t="s">
        <v>24</v>
      </c>
      <c r="F21" s="27" t="s">
        <v>56</v>
      </c>
      <c r="G21" s="42"/>
      <c r="H21" s="40"/>
      <c r="I21" s="41"/>
      <c r="J21" s="41"/>
      <c r="K21" s="41"/>
      <c r="L21" s="41"/>
    </row>
    <row r="22" spans="1:12" x14ac:dyDescent="0.3">
      <c r="A22" s="15" t="s">
        <v>24</v>
      </c>
      <c r="F22" s="245"/>
      <c r="G22" s="34" t="s">
        <v>32</v>
      </c>
      <c r="H22" s="44" t="s">
        <v>39</v>
      </c>
      <c r="I22" s="45" t="s">
        <v>40</v>
      </c>
      <c r="J22" s="45" t="s">
        <v>40</v>
      </c>
      <c r="K22" s="45" t="s">
        <v>40</v>
      </c>
      <c r="L22" s="45" t="s">
        <v>40</v>
      </c>
    </row>
    <row r="23" spans="1:12" x14ac:dyDescent="0.3">
      <c r="A23" s="15" t="s">
        <v>57</v>
      </c>
      <c r="D23" s="16" t="s">
        <v>58</v>
      </c>
      <c r="F23" s="245"/>
      <c r="G23" s="34" t="s">
        <v>38</v>
      </c>
      <c r="H23" s="44" t="s">
        <v>39</v>
      </c>
      <c r="I23" s="45" t="s">
        <v>40</v>
      </c>
      <c r="J23" s="45" t="s">
        <v>40</v>
      </c>
      <c r="K23" s="45" t="s">
        <v>40</v>
      </c>
      <c r="L23" s="45" t="s">
        <v>40</v>
      </c>
    </row>
    <row r="24" spans="1:12" x14ac:dyDescent="0.3">
      <c r="A24" s="15" t="s">
        <v>59</v>
      </c>
      <c r="B24" s="16" t="s">
        <v>56</v>
      </c>
      <c r="C24" s="16" t="s">
        <v>43</v>
      </c>
      <c r="D24" s="16" t="s">
        <v>44</v>
      </c>
      <c r="F24" s="245"/>
      <c r="G24" s="34" t="s">
        <v>45</v>
      </c>
      <c r="H24" s="44" t="s">
        <v>46</v>
      </c>
      <c r="I24" s="41">
        <v>0.13341789607515658</v>
      </c>
      <c r="J24" s="41">
        <v>0.13341789607515658</v>
      </c>
      <c r="K24" s="41">
        <v>0.13341789607515658</v>
      </c>
      <c r="L24" s="41">
        <v>0.13341789607515658</v>
      </c>
    </row>
    <row r="25" spans="1:12" x14ac:dyDescent="0.3">
      <c r="A25" s="15" t="s">
        <v>60</v>
      </c>
      <c r="B25" s="16" t="s">
        <v>56</v>
      </c>
      <c r="C25" s="16" t="s">
        <v>43</v>
      </c>
      <c r="D25" s="16" t="s">
        <v>48</v>
      </c>
      <c r="F25" s="245"/>
      <c r="G25" s="34"/>
      <c r="H25" s="44" t="s">
        <v>49</v>
      </c>
      <c r="I25" s="41">
        <v>0.15748000000000001</v>
      </c>
      <c r="J25" s="41">
        <v>0.15748000000000001</v>
      </c>
      <c r="K25" s="41">
        <v>0.15748000000000001</v>
      </c>
      <c r="L25" s="41">
        <v>0.15748000000000001</v>
      </c>
    </row>
    <row r="26" spans="1:12" x14ac:dyDescent="0.3">
      <c r="A26" s="15" t="s">
        <v>61</v>
      </c>
      <c r="B26" s="16" t="s">
        <v>56</v>
      </c>
      <c r="C26" s="16" t="s">
        <v>43</v>
      </c>
      <c r="D26" s="16" t="s">
        <v>51</v>
      </c>
      <c r="F26" s="245"/>
      <c r="G26" s="34"/>
      <c r="H26" s="44" t="s">
        <v>52</v>
      </c>
      <c r="I26" s="41">
        <v>0.2268</v>
      </c>
      <c r="J26" s="41">
        <v>0.2268</v>
      </c>
      <c r="K26" s="41">
        <v>0.2268</v>
      </c>
      <c r="L26" s="41">
        <v>0.2268</v>
      </c>
    </row>
    <row r="27" spans="1:12" x14ac:dyDescent="0.3">
      <c r="F27" s="245"/>
      <c r="G27" s="34"/>
      <c r="H27" s="44" t="s">
        <v>63</v>
      </c>
      <c r="I27" s="41">
        <v>0.25452000000000002</v>
      </c>
      <c r="J27" s="41">
        <v>0.25452000000000002</v>
      </c>
      <c r="K27" s="41">
        <v>0.25452000000000002</v>
      </c>
      <c r="L27" s="41">
        <v>0.25452000000000002</v>
      </c>
    </row>
    <row r="28" spans="1:12" x14ac:dyDescent="0.3">
      <c r="A28" s="15" t="s">
        <v>62</v>
      </c>
      <c r="B28" s="16" t="s">
        <v>56</v>
      </c>
      <c r="C28" s="16" t="s">
        <v>43</v>
      </c>
      <c r="D28" s="16" t="s">
        <v>54</v>
      </c>
      <c r="F28" s="248"/>
      <c r="G28" s="48" t="s">
        <v>94</v>
      </c>
      <c r="H28" s="61" t="s">
        <v>83</v>
      </c>
      <c r="I28" s="62" t="s">
        <v>40</v>
      </c>
      <c r="J28" s="63">
        <f>'CETR Rate'!H8</f>
        <v>2.3498000000000002E-2</v>
      </c>
      <c r="K28" s="63">
        <f>'CETR Rate'!I8</f>
        <v>4.8894E-2</v>
      </c>
      <c r="L28" s="63">
        <f>'CETR Rate'!J8</f>
        <v>4.9645000000000002E-2</v>
      </c>
    </row>
    <row r="29" spans="1:12" x14ac:dyDescent="0.3">
      <c r="A29" s="15" t="s">
        <v>24</v>
      </c>
      <c r="F29" s="27" t="s">
        <v>2</v>
      </c>
      <c r="G29" s="34"/>
      <c r="H29" s="40"/>
      <c r="I29" s="41"/>
      <c r="J29" s="41"/>
      <c r="K29" s="41"/>
      <c r="L29" s="41"/>
    </row>
    <row r="30" spans="1:12" x14ac:dyDescent="0.3">
      <c r="A30" s="15" t="s">
        <v>24</v>
      </c>
      <c r="F30" s="245"/>
      <c r="G30" s="34" t="s">
        <v>32</v>
      </c>
      <c r="H30" s="40" t="s">
        <v>64</v>
      </c>
      <c r="I30" s="43">
        <v>10</v>
      </c>
      <c r="J30" s="43">
        <v>10</v>
      </c>
      <c r="K30" s="43">
        <v>10</v>
      </c>
      <c r="L30" s="43">
        <v>10</v>
      </c>
    </row>
    <row r="31" spans="1:12" x14ac:dyDescent="0.3">
      <c r="A31" s="15" t="s">
        <v>24</v>
      </c>
      <c r="F31" s="245"/>
      <c r="G31" s="34"/>
      <c r="H31" s="40" t="s">
        <v>65</v>
      </c>
      <c r="I31" s="43">
        <v>13</v>
      </c>
      <c r="J31" s="43">
        <v>13</v>
      </c>
      <c r="K31" s="43">
        <v>13</v>
      </c>
      <c r="L31" s="43">
        <v>13</v>
      </c>
    </row>
    <row r="32" spans="1:12" x14ac:dyDescent="0.3">
      <c r="A32" s="15" t="s">
        <v>24</v>
      </c>
      <c r="F32" s="245"/>
      <c r="G32" s="34"/>
      <c r="H32" s="40" t="s">
        <v>35</v>
      </c>
      <c r="I32" s="43">
        <v>19</v>
      </c>
      <c r="J32" s="43">
        <v>19</v>
      </c>
      <c r="K32" s="43">
        <v>19</v>
      </c>
      <c r="L32" s="43">
        <v>19</v>
      </c>
    </row>
    <row r="33" spans="1:12" x14ac:dyDescent="0.3">
      <c r="A33" s="15" t="s">
        <v>66</v>
      </c>
      <c r="D33" s="16" t="s">
        <v>67</v>
      </c>
      <c r="F33" s="245"/>
      <c r="G33" s="34" t="s">
        <v>38</v>
      </c>
      <c r="H33" s="44" t="s">
        <v>39</v>
      </c>
      <c r="I33" s="45" t="s">
        <v>40</v>
      </c>
      <c r="J33" s="45" t="s">
        <v>40</v>
      </c>
      <c r="K33" s="45" t="s">
        <v>40</v>
      </c>
      <c r="L33" s="45" t="s">
        <v>40</v>
      </c>
    </row>
    <row r="34" spans="1:12" x14ac:dyDescent="0.3">
      <c r="A34" s="15" t="s">
        <v>68</v>
      </c>
      <c r="B34" s="16" t="s">
        <v>2</v>
      </c>
      <c r="C34" s="16" t="s">
        <v>43</v>
      </c>
      <c r="D34" s="16" t="s">
        <v>69</v>
      </c>
      <c r="F34" s="245"/>
      <c r="G34" s="34" t="s">
        <v>45</v>
      </c>
      <c r="H34" s="40" t="s">
        <v>70</v>
      </c>
      <c r="I34" s="41">
        <v>0.19400000000000001</v>
      </c>
      <c r="J34" s="41">
        <v>0.19400000000000001</v>
      </c>
      <c r="K34" s="41">
        <v>0.19400000000000001</v>
      </c>
      <c r="L34" s="41">
        <v>0.19400000000000001</v>
      </c>
    </row>
    <row r="35" spans="1:12" x14ac:dyDescent="0.3">
      <c r="A35" s="15" t="s">
        <v>71</v>
      </c>
      <c r="B35" s="16" t="s">
        <v>2</v>
      </c>
      <c r="C35" s="16" t="s">
        <v>43</v>
      </c>
      <c r="D35" s="16" t="s">
        <v>72</v>
      </c>
      <c r="F35" s="245"/>
      <c r="G35" s="34"/>
      <c r="H35" s="40" t="s">
        <v>73</v>
      </c>
      <c r="I35" s="41">
        <v>0.23699999999999999</v>
      </c>
      <c r="J35" s="41">
        <v>0.23699999999999999</v>
      </c>
      <c r="K35" s="41">
        <v>0.23699999999999999</v>
      </c>
      <c r="L35" s="41">
        <v>0.23699999999999999</v>
      </c>
    </row>
    <row r="36" spans="1:12" x14ac:dyDescent="0.3">
      <c r="A36" s="15" t="s">
        <v>74</v>
      </c>
      <c r="B36" s="16" t="s">
        <v>2</v>
      </c>
      <c r="C36" s="16" t="s">
        <v>43</v>
      </c>
      <c r="D36" s="16" t="s">
        <v>51</v>
      </c>
      <c r="F36" s="245"/>
      <c r="G36" s="34"/>
      <c r="H36" s="40" t="s">
        <v>52</v>
      </c>
      <c r="I36" s="41">
        <v>0.28399999999999997</v>
      </c>
      <c r="J36" s="41">
        <v>0.28399999999999997</v>
      </c>
      <c r="K36" s="41">
        <v>0.28399999999999997</v>
      </c>
      <c r="L36" s="41">
        <v>0.28399999999999997</v>
      </c>
    </row>
    <row r="37" spans="1:12" x14ac:dyDescent="0.3">
      <c r="F37" s="245"/>
      <c r="G37" s="34"/>
      <c r="H37" s="40" t="s">
        <v>63</v>
      </c>
      <c r="I37" s="41">
        <v>0.32</v>
      </c>
      <c r="J37" s="41">
        <v>0.32</v>
      </c>
      <c r="K37" s="41">
        <v>0.32</v>
      </c>
      <c r="L37" s="41">
        <v>0.32</v>
      </c>
    </row>
    <row r="38" spans="1:12" x14ac:dyDescent="0.3">
      <c r="A38" s="15" t="s">
        <v>75</v>
      </c>
      <c r="B38" s="16" t="s">
        <v>2</v>
      </c>
      <c r="C38" s="16" t="s">
        <v>43</v>
      </c>
      <c r="D38" s="16" t="s">
        <v>54</v>
      </c>
      <c r="F38" s="248"/>
      <c r="G38" s="48" t="s">
        <v>94</v>
      </c>
      <c r="H38" s="61" t="s">
        <v>83</v>
      </c>
      <c r="I38" s="62" t="s">
        <v>40</v>
      </c>
      <c r="J38" s="63">
        <f>'CETR Rate'!H9</f>
        <v>2.3498000000000002E-2</v>
      </c>
      <c r="K38" s="63">
        <f>'CETR Rate'!I9</f>
        <v>4.8894E-2</v>
      </c>
      <c r="L38" s="63">
        <f>'CETR Rate'!J9</f>
        <v>4.9645000000000002E-2</v>
      </c>
    </row>
    <row r="39" spans="1:12" x14ac:dyDescent="0.3">
      <c r="A39" s="15" t="s">
        <v>24</v>
      </c>
      <c r="F39" s="27" t="s">
        <v>4</v>
      </c>
      <c r="G39" s="34"/>
      <c r="H39" s="40"/>
      <c r="I39" s="41"/>
      <c r="J39" s="41"/>
      <c r="K39" s="41"/>
      <c r="L39" s="41"/>
    </row>
    <row r="40" spans="1:12" x14ac:dyDescent="0.3">
      <c r="A40" s="15" t="s">
        <v>24</v>
      </c>
      <c r="F40" s="245"/>
      <c r="G40" s="34" t="s">
        <v>32</v>
      </c>
      <c r="H40" s="44" t="s">
        <v>76</v>
      </c>
      <c r="I40" s="43">
        <v>94.5</v>
      </c>
      <c r="J40" s="43">
        <v>94.5</v>
      </c>
      <c r="K40" s="43">
        <v>94.5</v>
      </c>
      <c r="L40" s="43">
        <v>94.5</v>
      </c>
    </row>
    <row r="41" spans="1:12" x14ac:dyDescent="0.3">
      <c r="A41" s="15" t="s">
        <v>77</v>
      </c>
      <c r="D41" s="16" t="s">
        <v>78</v>
      </c>
      <c r="F41" s="245"/>
      <c r="G41" s="34" t="s">
        <v>38</v>
      </c>
      <c r="H41" s="44" t="s">
        <v>79</v>
      </c>
      <c r="I41" s="43">
        <v>26.41</v>
      </c>
      <c r="J41" s="43">
        <v>26.41</v>
      </c>
      <c r="K41" s="43">
        <v>26.41</v>
      </c>
      <c r="L41" s="43">
        <v>26.41</v>
      </c>
    </row>
    <row r="42" spans="1:12" x14ac:dyDescent="0.3">
      <c r="F42" s="245"/>
      <c r="G42" s="34" t="s">
        <v>45</v>
      </c>
      <c r="H42" s="44" t="s">
        <v>83</v>
      </c>
      <c r="I42" s="59">
        <v>0.13800000000000001</v>
      </c>
      <c r="J42" s="59">
        <v>0.13800000000000001</v>
      </c>
      <c r="K42" s="59">
        <v>0.13800000000000001</v>
      </c>
      <c r="L42" s="59">
        <v>0.13800000000000001</v>
      </c>
    </row>
    <row r="43" spans="1:12" x14ac:dyDescent="0.3">
      <c r="A43" s="15" t="s">
        <v>80</v>
      </c>
      <c r="B43" s="16" t="s">
        <v>81</v>
      </c>
      <c r="C43" s="16" t="s">
        <v>43</v>
      </c>
      <c r="D43" s="16" t="s">
        <v>82</v>
      </c>
      <c r="F43" s="248"/>
      <c r="G43" s="48" t="s">
        <v>94</v>
      </c>
      <c r="H43" s="61" t="s">
        <v>83</v>
      </c>
      <c r="I43" s="62" t="s">
        <v>40</v>
      </c>
      <c r="J43" s="63">
        <f>'CETR Rate'!H11</f>
        <v>2.3282000000000001E-2</v>
      </c>
      <c r="K43" s="63">
        <f>'CETR Rate'!I11</f>
        <v>4.8445000000000002E-2</v>
      </c>
      <c r="L43" s="63">
        <f>'CETR Rate'!J11</f>
        <v>4.9188999999999997E-2</v>
      </c>
    </row>
    <row r="44" spans="1:12" x14ac:dyDescent="0.3">
      <c r="A44" s="15" t="s">
        <v>24</v>
      </c>
      <c r="F44" s="27" t="s">
        <v>3</v>
      </c>
      <c r="G44" s="34"/>
      <c r="H44" s="40"/>
      <c r="I44" s="41"/>
      <c r="J44" s="41"/>
      <c r="K44" s="41"/>
      <c r="L44" s="41"/>
    </row>
    <row r="45" spans="1:12" x14ac:dyDescent="0.3">
      <c r="A45" s="15" t="s">
        <v>24</v>
      </c>
      <c r="F45" s="245"/>
      <c r="G45" s="34" t="s">
        <v>32</v>
      </c>
      <c r="H45" s="44" t="s">
        <v>76</v>
      </c>
      <c r="I45" s="49">
        <v>943.5</v>
      </c>
      <c r="J45" s="49">
        <v>943.5</v>
      </c>
      <c r="K45" s="49">
        <v>943.5</v>
      </c>
      <c r="L45" s="49">
        <v>943.5</v>
      </c>
    </row>
    <row r="46" spans="1:12" x14ac:dyDescent="0.3">
      <c r="A46" s="15" t="s">
        <v>84</v>
      </c>
      <c r="D46" s="16" t="s">
        <v>85</v>
      </c>
      <c r="F46" s="245"/>
      <c r="G46" s="34" t="s">
        <v>38</v>
      </c>
      <c r="H46" s="44" t="s">
        <v>79</v>
      </c>
      <c r="I46" s="43">
        <v>27.65</v>
      </c>
      <c r="J46" s="43">
        <v>27.65</v>
      </c>
      <c r="K46" s="43">
        <v>27.65</v>
      </c>
      <c r="L46" s="43">
        <v>27.65</v>
      </c>
    </row>
    <row r="47" spans="1:12" x14ac:dyDescent="0.3">
      <c r="F47" s="245"/>
      <c r="G47" s="34" t="s">
        <v>45</v>
      </c>
      <c r="H47" s="44" t="s">
        <v>83</v>
      </c>
      <c r="I47" s="59">
        <v>0.11700000000000001</v>
      </c>
      <c r="J47" s="59">
        <v>0.11700000000000001</v>
      </c>
      <c r="K47" s="59">
        <v>0.11700000000000001</v>
      </c>
      <c r="L47" s="59">
        <v>0.11700000000000001</v>
      </c>
    </row>
    <row r="48" spans="1:12" x14ac:dyDescent="0.3">
      <c r="A48" s="15" t="s">
        <v>86</v>
      </c>
      <c r="B48" s="16" t="s">
        <v>3</v>
      </c>
      <c r="C48" s="16" t="s">
        <v>43</v>
      </c>
      <c r="D48" s="16" t="s">
        <v>82</v>
      </c>
      <c r="F48" s="248"/>
      <c r="G48" s="48" t="s">
        <v>94</v>
      </c>
      <c r="H48" s="61" t="s">
        <v>83</v>
      </c>
      <c r="I48" s="62" t="s">
        <v>40</v>
      </c>
      <c r="J48" s="63">
        <f>'CETR Rate'!H10</f>
        <v>2.3095000000000001E-2</v>
      </c>
      <c r="K48" s="63">
        <f>'CETR Rate'!I10</f>
        <v>4.8055E-2</v>
      </c>
      <c r="L48" s="63">
        <f>'CETR Rate'!J10</f>
        <v>4.8793000000000003E-2</v>
      </c>
    </row>
    <row r="49" spans="1:12" x14ac:dyDescent="0.3">
      <c r="A49" s="15" t="s">
        <v>24</v>
      </c>
      <c r="F49" s="50" t="s">
        <v>87</v>
      </c>
      <c r="G49" s="34"/>
      <c r="H49" s="64"/>
      <c r="I49" s="65"/>
      <c r="J49" s="65"/>
      <c r="K49" s="65"/>
      <c r="L49" s="65"/>
    </row>
    <row r="50" spans="1:12" x14ac:dyDescent="0.3">
      <c r="A50" s="15" t="s">
        <v>24</v>
      </c>
      <c r="F50" s="245"/>
      <c r="G50" s="34" t="s">
        <v>32</v>
      </c>
      <c r="H50" s="44" t="s">
        <v>76</v>
      </c>
      <c r="I50" s="49">
        <v>300</v>
      </c>
      <c r="J50" s="49">
        <v>300</v>
      </c>
      <c r="K50" s="49">
        <v>300</v>
      </c>
      <c r="L50" s="49">
        <v>300</v>
      </c>
    </row>
    <row r="51" spans="1:12" x14ac:dyDescent="0.3">
      <c r="A51" s="15" t="s">
        <v>24</v>
      </c>
      <c r="F51" s="245"/>
      <c r="G51" s="34" t="s">
        <v>38</v>
      </c>
      <c r="H51" s="44" t="s">
        <v>79</v>
      </c>
      <c r="I51" s="43">
        <v>18</v>
      </c>
      <c r="J51" s="43">
        <v>18</v>
      </c>
      <c r="K51" s="43">
        <v>18</v>
      </c>
      <c r="L51" s="43">
        <v>18</v>
      </c>
    </row>
    <row r="52" spans="1:12" x14ac:dyDescent="0.3">
      <c r="A52" s="15" t="s">
        <v>24</v>
      </c>
      <c r="F52" s="245"/>
      <c r="G52" s="34"/>
      <c r="H52" s="44"/>
      <c r="I52" s="43"/>
      <c r="J52" s="43"/>
      <c r="K52" s="43"/>
      <c r="L52" s="43"/>
    </row>
    <row r="53" spans="1:12" x14ac:dyDescent="0.3">
      <c r="A53" s="15" t="s">
        <v>24</v>
      </c>
      <c r="F53" s="245"/>
      <c r="G53" s="34" t="s">
        <v>45</v>
      </c>
      <c r="H53" s="44" t="s">
        <v>88</v>
      </c>
      <c r="I53" s="41">
        <v>0.219</v>
      </c>
      <c r="J53" s="41">
        <v>0.219</v>
      </c>
      <c r="K53" s="41">
        <v>0.219</v>
      </c>
      <c r="L53" s="41">
        <v>0.219</v>
      </c>
    </row>
    <row r="54" spans="1:12" x14ac:dyDescent="0.3">
      <c r="F54" s="245"/>
      <c r="G54" s="34"/>
      <c r="H54" s="44" t="s">
        <v>89</v>
      </c>
      <c r="I54" s="41">
        <v>6.2E-2</v>
      </c>
      <c r="J54" s="41">
        <v>6.2E-2</v>
      </c>
      <c r="K54" s="41">
        <v>6.2E-2</v>
      </c>
      <c r="L54" s="41">
        <v>6.2E-2</v>
      </c>
    </row>
    <row r="55" spans="1:12" x14ac:dyDescent="0.3">
      <c r="A55" s="15" t="s">
        <v>24</v>
      </c>
      <c r="F55" s="248"/>
      <c r="G55" s="48" t="s">
        <v>94</v>
      </c>
      <c r="H55" s="61" t="s">
        <v>83</v>
      </c>
      <c r="I55" s="62" t="s">
        <v>40</v>
      </c>
      <c r="J55" s="63">
        <f>'CETR Rate'!H12</f>
        <v>2.3095000000000001E-2</v>
      </c>
      <c r="K55" s="63">
        <f>'CETR Rate'!I12</f>
        <v>4.8055E-2</v>
      </c>
      <c r="L55" s="63">
        <f>'CETR Rate'!J12</f>
        <v>4.8793000000000003E-2</v>
      </c>
    </row>
    <row r="56" spans="1:12" x14ac:dyDescent="0.3">
      <c r="A56" s="15" t="s">
        <v>24</v>
      </c>
      <c r="F56" s="27" t="s">
        <v>90</v>
      </c>
      <c r="G56" s="34" t="s">
        <v>15</v>
      </c>
      <c r="H56" s="40"/>
      <c r="I56" s="60"/>
      <c r="J56" s="231"/>
      <c r="K56" s="230"/>
      <c r="L56" s="231"/>
    </row>
    <row r="57" spans="1:12" x14ac:dyDescent="0.3">
      <c r="A57" s="15" t="s">
        <v>24</v>
      </c>
      <c r="F57" s="245"/>
      <c r="G57" s="34"/>
      <c r="H57" s="44" t="s">
        <v>91</v>
      </c>
      <c r="I57" s="51" t="s">
        <v>40</v>
      </c>
      <c r="J57" s="232" t="s">
        <v>40</v>
      </c>
      <c r="K57" s="228" t="s">
        <v>40</v>
      </c>
      <c r="L57" s="232" t="s">
        <v>40</v>
      </c>
    </row>
    <row r="58" spans="1:12" x14ac:dyDescent="0.3">
      <c r="A58" s="15" t="s">
        <v>24</v>
      </c>
      <c r="F58" s="246"/>
      <c r="G58" s="34"/>
      <c r="H58" s="44" t="s">
        <v>92</v>
      </c>
      <c r="I58" s="51" t="s">
        <v>40</v>
      </c>
      <c r="J58" s="232" t="s">
        <v>40</v>
      </c>
      <c r="K58" s="228" t="s">
        <v>40</v>
      </c>
      <c r="L58" s="232" t="s">
        <v>40</v>
      </c>
    </row>
    <row r="59" spans="1:12" x14ac:dyDescent="0.3">
      <c r="A59" s="15" t="s">
        <v>24</v>
      </c>
      <c r="F59" s="246"/>
      <c r="G59" s="34"/>
      <c r="H59" s="44" t="s">
        <v>93</v>
      </c>
      <c r="I59" s="51" t="s">
        <v>40</v>
      </c>
      <c r="J59" s="232" t="s">
        <v>40</v>
      </c>
      <c r="K59" s="228" t="s">
        <v>40</v>
      </c>
      <c r="L59" s="232" t="s">
        <v>40</v>
      </c>
    </row>
    <row r="60" spans="1:12" x14ac:dyDescent="0.3">
      <c r="F60" s="246"/>
      <c r="G60" s="34"/>
      <c r="H60" s="44" t="s">
        <v>76</v>
      </c>
      <c r="I60" s="52">
        <v>7.04</v>
      </c>
      <c r="J60" s="233">
        <v>7.04</v>
      </c>
      <c r="K60" s="229">
        <v>8.0399999999999991</v>
      </c>
      <c r="L60" s="233">
        <v>9.0399999999999991</v>
      </c>
    </row>
    <row r="61" spans="1:12" x14ac:dyDescent="0.3">
      <c r="F61" s="246"/>
      <c r="G61" s="34" t="s">
        <v>38</v>
      </c>
      <c r="H61" s="44" t="s">
        <v>39</v>
      </c>
      <c r="I61" s="51" t="s">
        <v>40</v>
      </c>
      <c r="J61" s="232" t="s">
        <v>40</v>
      </c>
      <c r="K61" s="228" t="s">
        <v>40</v>
      </c>
      <c r="L61" s="232" t="s">
        <v>40</v>
      </c>
    </row>
    <row r="62" spans="1:12" x14ac:dyDescent="0.3">
      <c r="F62" s="246"/>
      <c r="G62" s="34" t="s">
        <v>45</v>
      </c>
      <c r="H62" s="44" t="s">
        <v>83</v>
      </c>
      <c r="I62" s="60">
        <v>0</v>
      </c>
      <c r="J62" s="234">
        <v>0</v>
      </c>
      <c r="K62" s="230">
        <v>1</v>
      </c>
      <c r="L62" s="234">
        <v>2</v>
      </c>
    </row>
    <row r="63" spans="1:12" ht="15" thickBot="1" x14ac:dyDescent="0.35">
      <c r="F63" s="247"/>
      <c r="G63" s="48" t="s">
        <v>94</v>
      </c>
      <c r="H63" s="61" t="s">
        <v>83</v>
      </c>
      <c r="I63" s="227" t="s">
        <v>40</v>
      </c>
      <c r="J63" s="235">
        <f>'CETR Rate'!H13</f>
        <v>2.3498000000000002E-2</v>
      </c>
      <c r="K63" s="236">
        <f>'CETR Rate'!I13</f>
        <v>4.8894E-2</v>
      </c>
      <c r="L63" s="235">
        <f>'CETR Rate'!J13</f>
        <v>4.9645000000000002E-2</v>
      </c>
    </row>
    <row r="64" spans="1:12" x14ac:dyDescent="0.3">
      <c r="A64" s="15" t="s">
        <v>24</v>
      </c>
      <c r="G64"/>
      <c r="H64" s="21"/>
      <c r="I64" s="20"/>
      <c r="L64" s="216"/>
    </row>
    <row r="65" spans="1:1" x14ac:dyDescent="0.3">
      <c r="A65" s="15" t="s">
        <v>24</v>
      </c>
    </row>
    <row r="66" spans="1:1" x14ac:dyDescent="0.3">
      <c r="A66" s="15" t="s">
        <v>24</v>
      </c>
    </row>
    <row r="67" spans="1:1" x14ac:dyDescent="0.3">
      <c r="A67" s="15" t="s">
        <v>24</v>
      </c>
    </row>
    <row r="68" spans="1:1" x14ac:dyDescent="0.3">
      <c r="A68" s="15" t="s">
        <v>24</v>
      </c>
    </row>
    <row r="69" spans="1:1" x14ac:dyDescent="0.3">
      <c r="A69" s="15" t="s">
        <v>24</v>
      </c>
    </row>
    <row r="70" spans="1:1" x14ac:dyDescent="0.3">
      <c r="A70" s="15" t="s">
        <v>24</v>
      </c>
    </row>
    <row r="71" spans="1:1" x14ac:dyDescent="0.3">
      <c r="A71" s="15" t="s">
        <v>24</v>
      </c>
    </row>
    <row r="72" spans="1:1" x14ac:dyDescent="0.3">
      <c r="A72" s="15" t="s">
        <v>24</v>
      </c>
    </row>
    <row r="73" spans="1:1" x14ac:dyDescent="0.3">
      <c r="A73" s="15" t="s">
        <v>24</v>
      </c>
    </row>
    <row r="74" spans="1:1" x14ac:dyDescent="0.3">
      <c r="A74" s="15" t="s">
        <v>24</v>
      </c>
    </row>
    <row r="75" spans="1:1" x14ac:dyDescent="0.3">
      <c r="A75" s="15" t="s">
        <v>24</v>
      </c>
    </row>
    <row r="76" spans="1:1" x14ac:dyDescent="0.3">
      <c r="A76" s="15" t="s">
        <v>24</v>
      </c>
    </row>
    <row r="77" spans="1:1" x14ac:dyDescent="0.3">
      <c r="A77" s="15" t="s">
        <v>24</v>
      </c>
    </row>
    <row r="78" spans="1:1" x14ac:dyDescent="0.3">
      <c r="A78" s="15" t="s">
        <v>24</v>
      </c>
    </row>
    <row r="79" spans="1:1" x14ac:dyDescent="0.3">
      <c r="A79" s="15" t="s">
        <v>24</v>
      </c>
    </row>
    <row r="80" spans="1:1" x14ac:dyDescent="0.3">
      <c r="A80" s="15" t="s">
        <v>24</v>
      </c>
    </row>
    <row r="81" spans="1:1" x14ac:dyDescent="0.3">
      <c r="A81" s="15" t="s">
        <v>24</v>
      </c>
    </row>
    <row r="82" spans="1:1" x14ac:dyDescent="0.3">
      <c r="A82" s="15" t="s">
        <v>24</v>
      </c>
    </row>
    <row r="83" spans="1:1" x14ac:dyDescent="0.3">
      <c r="A83" s="15" t="s">
        <v>24</v>
      </c>
    </row>
  </sheetData>
  <mergeCells count="7">
    <mergeCell ref="F57:F63"/>
    <mergeCell ref="F12:F19"/>
    <mergeCell ref="F22:F28"/>
    <mergeCell ref="F30:F38"/>
    <mergeCell ref="F40:F43"/>
    <mergeCell ref="F45:F48"/>
    <mergeCell ref="F50:F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330C-3ED8-491C-9CE0-DA58A42ACD02}">
  <dimension ref="B1:AM719"/>
  <sheetViews>
    <sheetView workbookViewId="0">
      <selection activeCell="AI12" sqref="AI12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customWidth="1" collapsed="1"/>
    <col min="30" max="30" width="10" style="68" bestFit="1" customWidth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3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18" customHeight="1" x14ac:dyDescent="0.3">
      <c r="B3" s="66"/>
      <c r="C3" s="69" t="str">
        <f>"Domestic Service Tariff Bill Impacts"&amp;"-"&amp;'CETR Rate'!I3</f>
        <v>Domestic Service Tariff Bill Impacts-Battery Energy Storage Systems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9" t="str">
        <f>C3</f>
        <v>Domestic Service Tariff Bill Impacts-Battery Energy Storage Systems</v>
      </c>
      <c r="AG3"/>
      <c r="AH3"/>
      <c r="AI3" s="66"/>
      <c r="AJ3" s="66"/>
      <c r="AK3" s="66"/>
      <c r="AL3" s="66"/>
      <c r="AM3" s="66"/>
    </row>
    <row r="4" spans="2:39" ht="30.6" customHeight="1" x14ac:dyDescent="0.3">
      <c r="B4" s="66"/>
      <c r="C4" s="70"/>
      <c r="D4" s="71"/>
      <c r="E4" s="251" t="s">
        <v>103</v>
      </c>
      <c r="F4" s="252"/>
      <c r="G4" s="252"/>
      <c r="H4" s="252"/>
      <c r="I4" s="252"/>
      <c r="J4" s="252"/>
      <c r="K4" s="74"/>
      <c r="L4" s="112"/>
      <c r="M4" s="74"/>
      <c r="N4" s="251" t="s">
        <v>113</v>
      </c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75"/>
      <c r="AD4" s="179"/>
      <c r="AE4" s="250" t="s">
        <v>152</v>
      </c>
      <c r="AF4" s="250"/>
      <c r="AG4" s="250"/>
      <c r="AH4" s="250"/>
      <c r="AI4" s="250"/>
      <c r="AJ4" s="250"/>
      <c r="AK4" s="250"/>
      <c r="AL4" s="250"/>
      <c r="AM4" s="66"/>
    </row>
    <row r="5" spans="2:3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3" t="s">
        <v>151</v>
      </c>
      <c r="S5" s="253"/>
      <c r="T5" s="253"/>
      <c r="U5" s="73"/>
      <c r="V5" s="254" t="s">
        <v>99</v>
      </c>
      <c r="W5" s="254"/>
      <c r="X5" s="254"/>
      <c r="Y5" s="73"/>
      <c r="Z5" s="254" t="s">
        <v>95</v>
      </c>
      <c r="AA5" s="254"/>
      <c r="AB5" s="254"/>
      <c r="AC5" s="75"/>
      <c r="AD5" s="178"/>
      <c r="AE5" s="249" t="s">
        <v>101</v>
      </c>
      <c r="AF5" s="249"/>
      <c r="AG5" s="249"/>
      <c r="AH5" s="249"/>
      <c r="AI5" s="249" t="s">
        <v>102</v>
      </c>
      <c r="AJ5" s="249"/>
      <c r="AK5" s="249"/>
      <c r="AL5" s="249"/>
      <c r="AM5" s="66"/>
    </row>
    <row r="6" spans="2:3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157</v>
      </c>
      <c r="AI6" s="176">
        <v>2024</v>
      </c>
      <c r="AJ6" s="176">
        <v>2025</v>
      </c>
      <c r="AK6" s="176">
        <v>2026</v>
      </c>
      <c r="AL6" s="176" t="s">
        <v>157</v>
      </c>
      <c r="AM6" s="66"/>
    </row>
    <row r="7" spans="2:39" x14ac:dyDescent="0.3">
      <c r="B7" s="66"/>
      <c r="C7" s="77">
        <v>15</v>
      </c>
      <c r="D7" s="78">
        <v>6.5789162832419701E-2</v>
      </c>
      <c r="E7" s="79">
        <f>IF($C7&lt;=Tariffs!$E$9,Tariffs!$G$9,IF(AND($C7&gt;Tariffs!$E$9,$C7&lt;=Tariffs!$E$10),Tariffs!$G$10,Tariffs!$G$11))</f>
        <v>7</v>
      </c>
      <c r="F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G7" s="80">
        <f>F7+E7</f>
        <v>9.4</v>
      </c>
      <c r="H7" s="67">
        <f>$C7*Tariffs!$J$8</f>
        <v>6.7663651873343422</v>
      </c>
      <c r="I7" s="67">
        <f>H7+G7</f>
        <v>16.166365187334343</v>
      </c>
      <c r="J7" s="67">
        <f>I7*Tariffs!$I$8</f>
        <v>2.8291139077835097</v>
      </c>
      <c r="K7" s="81">
        <f>J7+I7</f>
        <v>18.995479095117851</v>
      </c>
      <c r="L7" s="81"/>
      <c r="M7" s="79">
        <f>IF($C7&lt;=Tariffs!$E$9,Tariffs!$G$9,IF(AND($C7&gt;Tariffs!$E$9,$C7&lt;=Tariffs!$E$10),Tariffs!$G$10,Tariffs!$G$11))</f>
        <v>7</v>
      </c>
      <c r="N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O7" s="80">
        <f>N7+M7</f>
        <v>9.4</v>
      </c>
      <c r="P7" s="67">
        <f>$C7*Tariffs!$J$8</f>
        <v>6.7663651873343422</v>
      </c>
      <c r="Q7" s="67"/>
      <c r="R7" s="67">
        <f>$C7*Tariffs!K$8</f>
        <v>0.35247000000000001</v>
      </c>
      <c r="S7" s="67">
        <f>$C7*Tariffs!L$8</f>
        <v>0.73341000000000001</v>
      </c>
      <c r="T7" s="67">
        <f>$C7*Tariffs!M$8</f>
        <v>0.74467499999999998</v>
      </c>
      <c r="U7" s="67"/>
      <c r="V7" s="67">
        <f>$P7+$O7+R7</f>
        <v>16.518835187334343</v>
      </c>
      <c r="W7" s="67">
        <f>$P7+$O7+S7</f>
        <v>16.899775187334342</v>
      </c>
      <c r="X7" s="67">
        <f>$P7+$O7+T7</f>
        <v>16.911040187334343</v>
      </c>
      <c r="Y7" s="67"/>
      <c r="Z7" s="67">
        <f>V7*(1+Tariffs!$I$8)</f>
        <v>19.409631345117855</v>
      </c>
      <c r="AA7" s="67">
        <f>W7*(1+Tariffs!$I$8)</f>
        <v>19.857235845117852</v>
      </c>
      <c r="AB7" s="67">
        <f>X7*(1+Tariffs!$I$8)</f>
        <v>19.870472220117854</v>
      </c>
      <c r="AC7" s="82"/>
      <c r="AD7" s="83">
        <f t="shared" ref="AD7:AD28" si="0">C7</f>
        <v>15</v>
      </c>
      <c r="AE7" s="67">
        <f>Z7-$K7</f>
        <v>0.41415225000000433</v>
      </c>
      <c r="AF7" s="67">
        <f t="shared" ref="AF7:AG7" si="1">AA7-$K7</f>
        <v>0.8617567500000014</v>
      </c>
      <c r="AG7" s="67">
        <f t="shared" si="1"/>
        <v>0.87499312500000315</v>
      </c>
      <c r="AH7" s="80">
        <f>SUM(AE7:AG7)</f>
        <v>2.1509021250000089</v>
      </c>
      <c r="AI7" s="172">
        <f t="shared" ref="AI7:AI28" si="2">Z7/$K7-1</f>
        <v>2.1802674622007689E-2</v>
      </c>
      <c r="AJ7" s="172">
        <f t="shared" ref="AJ7:AJ28" si="3">AA7/$K7-1</f>
        <v>4.5366413012530193E-2</v>
      </c>
      <c r="AK7" s="172">
        <f t="shared" ref="AK7:AK28" si="4">AB7/$K7-1</f>
        <v>4.6063230130630961E-2</v>
      </c>
      <c r="AL7" s="180">
        <f>SUM(AI7:AK7)</f>
        <v>0.11323231776516884</v>
      </c>
      <c r="AM7" s="66"/>
    </row>
    <row r="8" spans="2:39" x14ac:dyDescent="0.3">
      <c r="B8" s="66"/>
      <c r="C8" s="84">
        <v>50</v>
      </c>
      <c r="D8" s="85">
        <v>9.8571705727423492E-2</v>
      </c>
      <c r="E8" s="86">
        <f>IF($C8&lt;=Tariffs!$E$9,Tariffs!$G$9,IF(AND($C8&gt;Tariffs!$E$9,$C8&lt;=Tariffs!$E$10),Tariffs!$G$10,Tariffs!$G$11))</f>
        <v>7</v>
      </c>
      <c r="F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G8" s="87">
        <f t="shared" ref="G8:G28" si="5">F8+E8</f>
        <v>15</v>
      </c>
      <c r="H8" s="88">
        <f>$C8*Tariffs!$J$8</f>
        <v>22.55455062444781</v>
      </c>
      <c r="I8" s="88">
        <f t="shared" ref="I8:I28" si="6">H8+G8</f>
        <v>37.554550624447813</v>
      </c>
      <c r="J8" s="88">
        <f>I8*Tariffs!$I$8</f>
        <v>6.5720463592783673</v>
      </c>
      <c r="K8" s="89">
        <f t="shared" ref="K8:K28" si="7">J8+I8</f>
        <v>44.126596983726181</v>
      </c>
      <c r="L8" s="81"/>
      <c r="M8" s="86">
        <f>IF($C8&lt;=Tariffs!$E$9,Tariffs!$G$9,IF(AND($C8&gt;Tariffs!$E$9,$C8&lt;=Tariffs!$E$10),Tariffs!$G$10,Tariffs!$G$11))</f>
        <v>7</v>
      </c>
      <c r="N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O8" s="87">
        <f t="shared" ref="O8:O28" si="8">N8+M8</f>
        <v>15</v>
      </c>
      <c r="P8" s="88">
        <f>$C8*Tariffs!$J$8</f>
        <v>22.55455062444781</v>
      </c>
      <c r="Q8" s="67"/>
      <c r="R8" s="88">
        <f>$C8*Tariffs!K$8</f>
        <v>1.1749000000000001</v>
      </c>
      <c r="S8" s="88">
        <f>$C8*Tariffs!L$8</f>
        <v>2.4447000000000001</v>
      </c>
      <c r="T8" s="88">
        <f>$C8*Tariffs!M$8</f>
        <v>2.4822500000000001</v>
      </c>
      <c r="U8" s="67"/>
      <c r="V8" s="88">
        <f t="shared" ref="V8:V28" si="9">$P8+$O8+R8</f>
        <v>38.729450624447814</v>
      </c>
      <c r="W8" s="88">
        <f t="shared" ref="W8:W28" si="10">$P8+$O8+S8</f>
        <v>39.999250624447811</v>
      </c>
      <c r="X8" s="88">
        <f t="shared" ref="X8:X28" si="11">$P8+$O8+T8</f>
        <v>40.036800624447814</v>
      </c>
      <c r="Y8" s="67"/>
      <c r="Z8" s="88">
        <f>V8*(1+Tariffs!$I$8)</f>
        <v>45.507104483726181</v>
      </c>
      <c r="AA8" s="88">
        <f>W8*(1+Tariffs!$I$8)</f>
        <v>46.999119483726176</v>
      </c>
      <c r="AB8" s="88">
        <f>X8*(1+Tariffs!$I$8)</f>
        <v>47.043240733726186</v>
      </c>
      <c r="AC8" s="82"/>
      <c r="AD8" s="90">
        <f t="shared" si="0"/>
        <v>50</v>
      </c>
      <c r="AE8" s="88">
        <f t="shared" ref="AE8:AE28" si="12">Z8-$K8</f>
        <v>1.3805075000000002</v>
      </c>
      <c r="AF8" s="88">
        <f t="shared" ref="AF8:AF28" si="13">AA8-$K8</f>
        <v>2.8725224999999952</v>
      </c>
      <c r="AG8" s="88">
        <f t="shared" ref="AG8:AG28" si="14">AB8-$K8</f>
        <v>2.9166437500000058</v>
      </c>
      <c r="AH8" s="87">
        <f t="shared" ref="AH8:AH28" si="15">SUM(AE8:AG8)</f>
        <v>7.1696737500000012</v>
      </c>
      <c r="AI8" s="173">
        <f t="shared" si="2"/>
        <v>3.1285156671137182E-2</v>
      </c>
      <c r="AJ8" s="173">
        <f t="shared" si="3"/>
        <v>6.5097304037729842E-2</v>
      </c>
      <c r="AK8" s="173">
        <f t="shared" si="4"/>
        <v>6.6097182864014226E-2</v>
      </c>
      <c r="AL8" s="181">
        <f t="shared" ref="AL8:AL28" si="16">SUM(AI8:AK8)</f>
        <v>0.16247964357288125</v>
      </c>
      <c r="AM8" s="66"/>
    </row>
    <row r="9" spans="2:39" x14ac:dyDescent="0.3">
      <c r="B9" s="66"/>
      <c r="C9" s="77">
        <v>100</v>
      </c>
      <c r="D9" s="78">
        <v>0.2011223897351237</v>
      </c>
      <c r="E9" s="79">
        <f>IF($C9&lt;=Tariffs!$E$9,Tariffs!$G$9,IF(AND($C9&gt;Tariffs!$E$9,$C9&lt;=Tariffs!$E$10),Tariffs!$G$10,Tariffs!$G$11))</f>
        <v>7</v>
      </c>
      <c r="F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G9" s="80">
        <f t="shared" si="5"/>
        <v>23</v>
      </c>
      <c r="H9" s="67">
        <f>$C9*Tariffs!$J$8</f>
        <v>45.10910124889562</v>
      </c>
      <c r="I9" s="67">
        <f t="shared" si="6"/>
        <v>68.109101248895627</v>
      </c>
      <c r="J9" s="67">
        <f>I9*Tariffs!$I$8</f>
        <v>11.919092718556733</v>
      </c>
      <c r="K9" s="81">
        <f t="shared" si="7"/>
        <v>80.028193967452353</v>
      </c>
      <c r="L9" s="81"/>
      <c r="M9" s="79">
        <f>IF($C9&lt;=Tariffs!$E$9,Tariffs!$G$9,IF(AND($C9&gt;Tariffs!$E$9,$C9&lt;=Tariffs!$E$10),Tariffs!$G$10,Tariffs!$G$11))</f>
        <v>7</v>
      </c>
      <c r="N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O9" s="80">
        <f t="shared" si="8"/>
        <v>23</v>
      </c>
      <c r="P9" s="67">
        <f>$C9*Tariffs!$J$8</f>
        <v>45.10910124889562</v>
      </c>
      <c r="Q9" s="67"/>
      <c r="R9" s="67">
        <f>$C9*Tariffs!K$8</f>
        <v>2.3498000000000001</v>
      </c>
      <c r="S9" s="67">
        <f>$C9*Tariffs!L$8</f>
        <v>4.8894000000000002</v>
      </c>
      <c r="T9" s="67">
        <f>$C9*Tariffs!M$8</f>
        <v>4.9645000000000001</v>
      </c>
      <c r="U9" s="67"/>
      <c r="V9" s="67">
        <f t="shared" si="9"/>
        <v>70.458901248895629</v>
      </c>
      <c r="W9" s="67">
        <f t="shared" si="10"/>
        <v>72.998501248895622</v>
      </c>
      <c r="X9" s="67">
        <f t="shared" si="11"/>
        <v>73.073601248895628</v>
      </c>
      <c r="Y9" s="67"/>
      <c r="Z9" s="67">
        <f>V9*(1+Tariffs!$I$8)</f>
        <v>82.789208967452367</v>
      </c>
      <c r="AA9" s="67">
        <f>W9*(1+Tariffs!$I$8)</f>
        <v>85.773238967452357</v>
      </c>
      <c r="AB9" s="67">
        <f>X9*(1+Tariffs!$I$8)</f>
        <v>85.861481467452364</v>
      </c>
      <c r="AC9" s="82"/>
      <c r="AD9" s="83">
        <f t="shared" si="0"/>
        <v>100</v>
      </c>
      <c r="AE9" s="67">
        <f t="shared" si="12"/>
        <v>2.7610150000000147</v>
      </c>
      <c r="AF9" s="67">
        <f t="shared" si="13"/>
        <v>5.7450450000000046</v>
      </c>
      <c r="AG9" s="67">
        <f t="shared" si="14"/>
        <v>5.8332875000000115</v>
      </c>
      <c r="AH9" s="80">
        <f t="shared" si="15"/>
        <v>14.339347500000031</v>
      </c>
      <c r="AI9" s="172">
        <f t="shared" si="2"/>
        <v>3.4500528665221797E-2</v>
      </c>
      <c r="AJ9" s="172">
        <f t="shared" si="3"/>
        <v>7.1787762726927662E-2</v>
      </c>
      <c r="AK9" s="172">
        <f t="shared" si="4"/>
        <v>7.2890405378539747E-2</v>
      </c>
      <c r="AL9" s="180">
        <f t="shared" si="16"/>
        <v>0.17917869677068921</v>
      </c>
      <c r="AM9" s="66"/>
    </row>
    <row r="10" spans="2:39" x14ac:dyDescent="0.3">
      <c r="B10" s="66"/>
      <c r="C10" s="84">
        <v>150</v>
      </c>
      <c r="D10" s="85">
        <v>0.35458366413929709</v>
      </c>
      <c r="E10" s="86">
        <f>IF($C10&lt;=Tariffs!$E$9,Tariffs!$G$9,IF(AND($C10&gt;Tariffs!$E$9,$C10&lt;=Tariffs!$E$10),Tariffs!$G$10,Tariffs!$G$11))</f>
        <v>7</v>
      </c>
      <c r="F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G10" s="87">
        <f t="shared" si="5"/>
        <v>31</v>
      </c>
      <c r="H10" s="88">
        <f>$C10*Tariffs!$J$8</f>
        <v>67.663651873343426</v>
      </c>
      <c r="I10" s="88">
        <f t="shared" si="6"/>
        <v>98.663651873343426</v>
      </c>
      <c r="J10" s="88">
        <f>I10*Tariffs!$I$8</f>
        <v>17.266139077835099</v>
      </c>
      <c r="K10" s="89">
        <f t="shared" si="7"/>
        <v>115.92979095117852</v>
      </c>
      <c r="L10" s="81"/>
      <c r="M10" s="86">
        <f>IF($C10&lt;=Tariffs!$E$9,Tariffs!$G$9,IF(AND($C10&gt;Tariffs!$E$9,$C10&lt;=Tariffs!$E$10),Tariffs!$G$10,Tariffs!$G$11))</f>
        <v>7</v>
      </c>
      <c r="N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O10" s="87">
        <f t="shared" si="8"/>
        <v>31</v>
      </c>
      <c r="P10" s="88">
        <f>$C10*Tariffs!$J$8</f>
        <v>67.663651873343426</v>
      </c>
      <c r="Q10" s="67"/>
      <c r="R10" s="88">
        <f>$C10*Tariffs!K$8</f>
        <v>3.5247000000000002</v>
      </c>
      <c r="S10" s="88">
        <f>$C10*Tariffs!L$8</f>
        <v>7.3341000000000003</v>
      </c>
      <c r="T10" s="88">
        <f>$C10*Tariffs!M$8</f>
        <v>7.4467500000000006</v>
      </c>
      <c r="U10" s="67"/>
      <c r="V10" s="88">
        <f t="shared" si="9"/>
        <v>102.18835187334342</v>
      </c>
      <c r="W10" s="88">
        <f t="shared" si="10"/>
        <v>105.99775187334343</v>
      </c>
      <c r="X10" s="88">
        <f t="shared" si="11"/>
        <v>106.11040187334342</v>
      </c>
      <c r="Y10" s="67"/>
      <c r="Z10" s="88">
        <f>V10*(1+Tariffs!$I$8)</f>
        <v>120.07131345117853</v>
      </c>
      <c r="AA10" s="88">
        <f>W10*(1+Tariffs!$I$8)</f>
        <v>124.54735845117854</v>
      </c>
      <c r="AB10" s="88">
        <f>X10*(1+Tariffs!$I$8)</f>
        <v>124.67972220117852</v>
      </c>
      <c r="AC10" s="82"/>
      <c r="AD10" s="90">
        <f t="shared" si="0"/>
        <v>150</v>
      </c>
      <c r="AE10" s="88">
        <f t="shared" si="12"/>
        <v>4.1415225000000078</v>
      </c>
      <c r="AF10" s="88">
        <f t="shared" si="13"/>
        <v>8.6175675000000211</v>
      </c>
      <c r="AG10" s="88">
        <f t="shared" si="14"/>
        <v>8.749931250000003</v>
      </c>
      <c r="AH10" s="87">
        <f t="shared" si="15"/>
        <v>21.509021250000032</v>
      </c>
      <c r="AI10" s="173">
        <f t="shared" si="2"/>
        <v>3.5724402381991149E-2</v>
      </c>
      <c r="AJ10" s="173">
        <f t="shared" si="3"/>
        <v>7.433436590625031E-2</v>
      </c>
      <c r="AK10" s="173">
        <f t="shared" si="4"/>
        <v>7.5476123766020198E-2</v>
      </c>
      <c r="AL10" s="181">
        <f t="shared" si="16"/>
        <v>0.18553489205426166</v>
      </c>
      <c r="AM10" s="66"/>
    </row>
    <row r="11" spans="2:39" x14ac:dyDescent="0.3">
      <c r="B11" s="66"/>
      <c r="C11" s="77">
        <v>200</v>
      </c>
      <c r="D11" s="78">
        <v>0.50649644447721665</v>
      </c>
      <c r="E11" s="79">
        <f>IF($C11&lt;=Tariffs!$E$9,Tariffs!$G$9,IF(AND($C11&gt;Tariffs!$E$9,$C11&lt;=Tariffs!$E$10),Tariffs!$G$10,Tariffs!$G$11))</f>
        <v>12</v>
      </c>
      <c r="F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G11" s="80">
        <f t="shared" si="5"/>
        <v>45.8</v>
      </c>
      <c r="H11" s="67">
        <f>$C11*Tariffs!$J$8</f>
        <v>90.218202497791239</v>
      </c>
      <c r="I11" s="67">
        <f t="shared" si="6"/>
        <v>136.01820249779124</v>
      </c>
      <c r="J11" s="67">
        <f>I11*Tariffs!$I$8</f>
        <v>23.803185437113466</v>
      </c>
      <c r="K11" s="81">
        <f t="shared" si="7"/>
        <v>159.82138793490469</v>
      </c>
      <c r="L11" s="81"/>
      <c r="M11" s="79">
        <f>IF($C11&lt;=Tariffs!$E$9,Tariffs!$G$9,IF(AND($C11&gt;Tariffs!$E$9,$C11&lt;=Tariffs!$E$10),Tariffs!$G$10,Tariffs!$G$11))</f>
        <v>12</v>
      </c>
      <c r="N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O11" s="80">
        <f t="shared" si="8"/>
        <v>45.8</v>
      </c>
      <c r="P11" s="67">
        <f>$C11*Tariffs!$J$8</f>
        <v>90.218202497791239</v>
      </c>
      <c r="Q11" s="67"/>
      <c r="R11" s="67">
        <f>$C11*Tariffs!K$8</f>
        <v>4.6996000000000002</v>
      </c>
      <c r="S11" s="67">
        <f>$C11*Tariffs!L$8</f>
        <v>9.7788000000000004</v>
      </c>
      <c r="T11" s="67">
        <f>$C11*Tariffs!M$8</f>
        <v>9.9290000000000003</v>
      </c>
      <c r="U11" s="67"/>
      <c r="V11" s="67">
        <f t="shared" si="9"/>
        <v>140.71780249779124</v>
      </c>
      <c r="W11" s="67">
        <f t="shared" si="10"/>
        <v>145.79700249779123</v>
      </c>
      <c r="X11" s="67">
        <f t="shared" si="11"/>
        <v>145.94720249779124</v>
      </c>
      <c r="Y11" s="67"/>
      <c r="Z11" s="67">
        <f>V11*(1+Tariffs!$I$8)</f>
        <v>165.34341793490472</v>
      </c>
      <c r="AA11" s="67">
        <f>W11*(1+Tariffs!$I$8)</f>
        <v>171.3114779349047</v>
      </c>
      <c r="AB11" s="67">
        <f>X11*(1+Tariffs!$I$8)</f>
        <v>171.48796293490471</v>
      </c>
      <c r="AC11" s="82"/>
      <c r="AD11" s="83">
        <f t="shared" si="0"/>
        <v>200</v>
      </c>
      <c r="AE11" s="67">
        <f t="shared" si="12"/>
        <v>5.5220300000000293</v>
      </c>
      <c r="AF11" s="67">
        <f t="shared" si="13"/>
        <v>11.490090000000009</v>
      </c>
      <c r="AG11" s="67">
        <f t="shared" si="14"/>
        <v>11.666575000000023</v>
      </c>
      <c r="AH11" s="80">
        <f t="shared" si="15"/>
        <v>28.678695000000062</v>
      </c>
      <c r="AI11" s="172">
        <f t="shared" si="2"/>
        <v>3.4551257947085023E-2</v>
      </c>
      <c r="AJ11" s="172">
        <f t="shared" si="3"/>
        <v>7.1893318838401887E-2</v>
      </c>
      <c r="AK11" s="172">
        <f t="shared" si="4"/>
        <v>7.2997582806325179E-2</v>
      </c>
      <c r="AL11" s="180">
        <f t="shared" si="16"/>
        <v>0.17944215959181209</v>
      </c>
      <c r="AM11" s="66"/>
    </row>
    <row r="12" spans="2:39" x14ac:dyDescent="0.3">
      <c r="B12" s="66"/>
      <c r="C12" s="91">
        <v>250</v>
      </c>
      <c r="D12" s="92">
        <v>0.63469213747305508</v>
      </c>
      <c r="E12" s="93">
        <f>IF($C12&lt;=Tariffs!$E$9,Tariffs!$G$9,IF(AND($C12&gt;Tariffs!$E$9,$C12&lt;=Tariffs!$E$10),Tariffs!$G$10,Tariffs!$G$11))</f>
        <v>12</v>
      </c>
      <c r="F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G12" s="94">
        <f t="shared" si="5"/>
        <v>55.6</v>
      </c>
      <c r="H12" s="95">
        <f>$C12*Tariffs!$J$8</f>
        <v>112.77275312223904</v>
      </c>
      <c r="I12" s="95">
        <f t="shared" si="6"/>
        <v>168.37275312223903</v>
      </c>
      <c r="J12" s="95">
        <f>I12*Tariffs!$I$8</f>
        <v>29.46523179639183</v>
      </c>
      <c r="K12" s="96">
        <f t="shared" si="7"/>
        <v>197.83798491863087</v>
      </c>
      <c r="L12" s="113"/>
      <c r="M12" s="93">
        <f>IF($C12&lt;=Tariffs!$E$9,Tariffs!$G$9,IF(AND($C12&gt;Tariffs!$E$9,$C12&lt;=Tariffs!$E$10),Tariffs!$G$10,Tariffs!$G$11))</f>
        <v>12</v>
      </c>
      <c r="N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O12" s="94">
        <f t="shared" si="8"/>
        <v>55.6</v>
      </c>
      <c r="P12" s="95">
        <f>$C12*Tariffs!$J$8</f>
        <v>112.77275312223904</v>
      </c>
      <c r="Q12" s="171"/>
      <c r="R12" s="95">
        <f>$C12*Tariffs!K$8</f>
        <v>5.8745000000000003</v>
      </c>
      <c r="S12" s="95">
        <f>$C12*Tariffs!L$8</f>
        <v>12.2235</v>
      </c>
      <c r="T12" s="95">
        <f>$C12*Tariffs!M$8</f>
        <v>12.411250000000001</v>
      </c>
      <c r="U12" s="171"/>
      <c r="V12" s="95">
        <f t="shared" si="9"/>
        <v>174.24725312223904</v>
      </c>
      <c r="W12" s="95">
        <f t="shared" si="10"/>
        <v>180.59625312223903</v>
      </c>
      <c r="X12" s="95">
        <f t="shared" si="11"/>
        <v>180.78400312223903</v>
      </c>
      <c r="Y12" s="67"/>
      <c r="Z12" s="95">
        <f>V12*(1+Tariffs!$I$8)</f>
        <v>204.74052241863089</v>
      </c>
      <c r="AA12" s="95">
        <f>W12*(1+Tariffs!$I$8)</f>
        <v>212.20059741863088</v>
      </c>
      <c r="AB12" s="95">
        <f>X12*(1+Tariffs!$I$8)</f>
        <v>212.42120366863085</v>
      </c>
      <c r="AC12" s="82"/>
      <c r="AD12" s="175">
        <f t="shared" si="0"/>
        <v>250</v>
      </c>
      <c r="AE12" s="95">
        <f t="shared" si="12"/>
        <v>6.9025375000000224</v>
      </c>
      <c r="AF12" s="95">
        <f t="shared" si="13"/>
        <v>14.362612500000012</v>
      </c>
      <c r="AG12" s="95">
        <f t="shared" si="14"/>
        <v>14.583218749999986</v>
      </c>
      <c r="AH12" s="94">
        <f t="shared" si="15"/>
        <v>35.84836875000002</v>
      </c>
      <c r="AI12" s="174">
        <f t="shared" si="2"/>
        <v>3.48898494029799E-2</v>
      </c>
      <c r="AJ12" s="174">
        <f t="shared" si="3"/>
        <v>7.2597850740883985E-2</v>
      </c>
      <c r="AK12" s="174">
        <f t="shared" si="4"/>
        <v>7.3712936148222274E-2</v>
      </c>
      <c r="AL12" s="182">
        <f t="shared" si="16"/>
        <v>0.18120063629208616</v>
      </c>
      <c r="AM12" s="66"/>
    </row>
    <row r="13" spans="2:39" x14ac:dyDescent="0.3">
      <c r="B13" s="66"/>
      <c r="C13" s="77">
        <v>300</v>
      </c>
      <c r="D13" s="78">
        <v>0.73320227570639729</v>
      </c>
      <c r="E13" s="79">
        <f>IF($C13&lt;=Tariffs!$E$9,Tariffs!$G$9,IF(AND($C13&gt;Tariffs!$E$9,$C13&lt;=Tariffs!$E$10),Tariffs!$G$10,Tariffs!$G$11))</f>
        <v>12</v>
      </c>
      <c r="F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G13" s="80">
        <f t="shared" si="5"/>
        <v>65.400000000000006</v>
      </c>
      <c r="H13" s="67">
        <f>$C13*Tariffs!$J$8</f>
        <v>135.32730374668685</v>
      </c>
      <c r="I13" s="67">
        <f t="shared" si="6"/>
        <v>200.72730374668686</v>
      </c>
      <c r="J13" s="67">
        <f>I13*Tariffs!$I$8</f>
        <v>35.127278155670197</v>
      </c>
      <c r="K13" s="81">
        <f t="shared" si="7"/>
        <v>235.85458190235704</v>
      </c>
      <c r="L13" s="81"/>
      <c r="M13" s="79">
        <f>IF($C13&lt;=Tariffs!$E$9,Tariffs!$G$9,IF(AND($C13&gt;Tariffs!$E$9,$C13&lt;=Tariffs!$E$10),Tariffs!$G$10,Tariffs!$G$11))</f>
        <v>12</v>
      </c>
      <c r="N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O13" s="80">
        <f t="shared" si="8"/>
        <v>65.400000000000006</v>
      </c>
      <c r="P13" s="67">
        <f>$C13*Tariffs!$J$8</f>
        <v>135.32730374668685</v>
      </c>
      <c r="Q13" s="67"/>
      <c r="R13" s="67">
        <f>$C13*Tariffs!K$8</f>
        <v>7.0494000000000003</v>
      </c>
      <c r="S13" s="67">
        <f>$C13*Tariffs!L$8</f>
        <v>14.668200000000001</v>
      </c>
      <c r="T13" s="67">
        <f>$C13*Tariffs!M$8</f>
        <v>14.893500000000001</v>
      </c>
      <c r="U13" s="67"/>
      <c r="V13" s="67">
        <f t="shared" si="9"/>
        <v>207.77670374668685</v>
      </c>
      <c r="W13" s="67">
        <f t="shared" si="10"/>
        <v>215.39550374668687</v>
      </c>
      <c r="X13" s="67">
        <f t="shared" si="11"/>
        <v>215.62080374668685</v>
      </c>
      <c r="Y13" s="67"/>
      <c r="Z13" s="67">
        <f>V13*(1+Tariffs!$I$8)</f>
        <v>244.13762690235706</v>
      </c>
      <c r="AA13" s="67">
        <f>W13*(1+Tariffs!$I$8)</f>
        <v>253.08971690235708</v>
      </c>
      <c r="AB13" s="67">
        <f>X13*(1+Tariffs!$I$8)</f>
        <v>253.35444440235705</v>
      </c>
      <c r="AC13" s="82"/>
      <c r="AD13" s="83">
        <f t="shared" si="0"/>
        <v>300</v>
      </c>
      <c r="AE13" s="67">
        <f t="shared" si="12"/>
        <v>8.2830450000000155</v>
      </c>
      <c r="AF13" s="67">
        <f t="shared" si="13"/>
        <v>17.235135000000042</v>
      </c>
      <c r="AG13" s="67">
        <f t="shared" si="14"/>
        <v>17.499862500000006</v>
      </c>
      <c r="AH13" s="80">
        <f t="shared" si="15"/>
        <v>43.018042500000064</v>
      </c>
      <c r="AI13" s="172">
        <f t="shared" si="2"/>
        <v>3.5119288051097319E-2</v>
      </c>
      <c r="AJ13" s="172">
        <f t="shared" si="3"/>
        <v>7.3075260446436197E-2</v>
      </c>
      <c r="AK13" s="172">
        <f t="shared" si="4"/>
        <v>7.4197678751243723E-2</v>
      </c>
      <c r="AL13" s="180">
        <f t="shared" si="16"/>
        <v>0.18239222724877724</v>
      </c>
      <c r="AM13" s="66"/>
    </row>
    <row r="14" spans="2:39" x14ac:dyDescent="0.3">
      <c r="B14" s="66"/>
      <c r="C14" s="84">
        <v>350</v>
      </c>
      <c r="D14" s="85">
        <v>0.80418530097555818</v>
      </c>
      <c r="E14" s="86">
        <f>IF($C14&lt;=Tariffs!$E$9,Tariffs!$G$9,IF(AND($C14&gt;Tariffs!$E$9,$C14&lt;=Tariffs!$E$10),Tariffs!$G$10,Tariffs!$G$11))</f>
        <v>12</v>
      </c>
      <c r="F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G14" s="87">
        <f t="shared" si="5"/>
        <v>75.2</v>
      </c>
      <c r="H14" s="88">
        <f>$C14*Tariffs!$J$8</f>
        <v>157.88185437113466</v>
      </c>
      <c r="I14" s="88">
        <f t="shared" si="6"/>
        <v>233.08185437113468</v>
      </c>
      <c r="J14" s="88">
        <f>I14*Tariffs!$I$8</f>
        <v>40.789324514948568</v>
      </c>
      <c r="K14" s="89">
        <f t="shared" si="7"/>
        <v>273.87117888608327</v>
      </c>
      <c r="L14" s="81"/>
      <c r="M14" s="86">
        <f>IF($C14&lt;=Tariffs!$E$9,Tariffs!$G$9,IF(AND($C14&gt;Tariffs!$E$9,$C14&lt;=Tariffs!$E$10),Tariffs!$G$10,Tariffs!$G$11))</f>
        <v>12</v>
      </c>
      <c r="N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O14" s="87">
        <f t="shared" si="8"/>
        <v>75.2</v>
      </c>
      <c r="P14" s="88">
        <f>$C14*Tariffs!$J$8</f>
        <v>157.88185437113466</v>
      </c>
      <c r="Q14" s="67"/>
      <c r="R14" s="88">
        <f>$C14*Tariffs!K$8</f>
        <v>8.2243000000000013</v>
      </c>
      <c r="S14" s="88">
        <f>$C14*Tariffs!L$8</f>
        <v>17.1129</v>
      </c>
      <c r="T14" s="88">
        <f>$C14*Tariffs!M$8</f>
        <v>17.37575</v>
      </c>
      <c r="U14" s="67"/>
      <c r="V14" s="88">
        <f t="shared" si="9"/>
        <v>241.30615437113468</v>
      </c>
      <c r="W14" s="88">
        <f t="shared" si="10"/>
        <v>250.19475437113468</v>
      </c>
      <c r="X14" s="88">
        <f t="shared" si="11"/>
        <v>250.45760437113469</v>
      </c>
      <c r="Y14" s="67"/>
      <c r="Z14" s="88">
        <f>V14*(1+Tariffs!$I$8)</f>
        <v>283.53473138608325</v>
      </c>
      <c r="AA14" s="88">
        <f>W14*(1+Tariffs!$I$8)</f>
        <v>293.97883638608323</v>
      </c>
      <c r="AB14" s="88">
        <f>X14*(1+Tariffs!$I$8)</f>
        <v>294.28768513608327</v>
      </c>
      <c r="AC14" s="82"/>
      <c r="AD14" s="90">
        <f t="shared" si="0"/>
        <v>350</v>
      </c>
      <c r="AE14" s="88">
        <f t="shared" si="12"/>
        <v>9.6635524999999802</v>
      </c>
      <c r="AF14" s="88">
        <f t="shared" si="13"/>
        <v>20.107657499999959</v>
      </c>
      <c r="AG14" s="88">
        <f t="shared" si="14"/>
        <v>20.416506249999998</v>
      </c>
      <c r="AH14" s="87">
        <f t="shared" si="15"/>
        <v>50.187716249999937</v>
      </c>
      <c r="AI14" s="173">
        <f t="shared" si="2"/>
        <v>3.528502903921682E-2</v>
      </c>
      <c r="AJ14" s="173">
        <f t="shared" si="3"/>
        <v>7.3420129791619049E-2</v>
      </c>
      <c r="AK14" s="173">
        <f t="shared" si="4"/>
        <v>7.4547845206056618E-2</v>
      </c>
      <c r="AL14" s="181">
        <f t="shared" si="16"/>
        <v>0.18325300403689249</v>
      </c>
      <c r="AM14" s="66"/>
    </row>
    <row r="15" spans="2:39" x14ac:dyDescent="0.3">
      <c r="B15" s="66"/>
      <c r="C15" s="77">
        <v>400</v>
      </c>
      <c r="D15" s="78">
        <v>0.85319159446207526</v>
      </c>
      <c r="E15" s="79">
        <f>IF($C15&lt;=Tariffs!$E$9,Tariffs!$G$9,IF(AND($C15&gt;Tariffs!$E$9,$C15&lt;=Tariffs!$E$10),Tariffs!$G$10,Tariffs!$G$11))</f>
        <v>12</v>
      </c>
      <c r="F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G15" s="80">
        <f t="shared" si="5"/>
        <v>85</v>
      </c>
      <c r="H15" s="67">
        <f>$C15*Tariffs!$J$8</f>
        <v>180.43640499558248</v>
      </c>
      <c r="I15" s="67">
        <f t="shared" si="6"/>
        <v>265.43640499558251</v>
      </c>
      <c r="J15" s="67">
        <f>I15*Tariffs!$I$8</f>
        <v>46.451370874226939</v>
      </c>
      <c r="K15" s="81">
        <f t="shared" si="7"/>
        <v>311.88777586980945</v>
      </c>
      <c r="L15" s="81"/>
      <c r="M15" s="79">
        <f>IF($C15&lt;=Tariffs!$E$9,Tariffs!$G$9,IF(AND($C15&gt;Tariffs!$E$9,$C15&lt;=Tariffs!$E$10),Tariffs!$G$10,Tariffs!$G$11))</f>
        <v>12</v>
      </c>
      <c r="N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O15" s="80">
        <f t="shared" si="8"/>
        <v>85</v>
      </c>
      <c r="P15" s="67">
        <f>$C15*Tariffs!$J$8</f>
        <v>180.43640499558248</v>
      </c>
      <c r="Q15" s="67"/>
      <c r="R15" s="67">
        <f>$C15*Tariffs!K$8</f>
        <v>9.3992000000000004</v>
      </c>
      <c r="S15" s="67">
        <f>$C15*Tariffs!L$8</f>
        <v>19.557600000000001</v>
      </c>
      <c r="T15" s="67">
        <f>$C15*Tariffs!M$8</f>
        <v>19.858000000000001</v>
      </c>
      <c r="U15" s="67"/>
      <c r="V15" s="67">
        <f t="shared" si="9"/>
        <v>274.83560499558251</v>
      </c>
      <c r="W15" s="67">
        <f t="shared" si="10"/>
        <v>284.99400499558249</v>
      </c>
      <c r="X15" s="67">
        <f t="shared" si="11"/>
        <v>285.29440499558251</v>
      </c>
      <c r="Y15" s="67"/>
      <c r="Z15" s="67">
        <f>V15*(1+Tariffs!$I$8)</f>
        <v>322.93183586980945</v>
      </c>
      <c r="AA15" s="67">
        <f>W15*(1+Tariffs!$I$8)</f>
        <v>334.86795586980941</v>
      </c>
      <c r="AB15" s="67">
        <f>X15*(1+Tariffs!$I$8)</f>
        <v>335.22092586980943</v>
      </c>
      <c r="AC15" s="82"/>
      <c r="AD15" s="83">
        <f t="shared" si="0"/>
        <v>400</v>
      </c>
      <c r="AE15" s="67">
        <f t="shared" si="12"/>
        <v>11.044060000000002</v>
      </c>
      <c r="AF15" s="67">
        <f t="shared" si="13"/>
        <v>22.980179999999962</v>
      </c>
      <c r="AG15" s="67">
        <f t="shared" si="14"/>
        <v>23.333149999999989</v>
      </c>
      <c r="AH15" s="80">
        <f t="shared" si="15"/>
        <v>57.357389999999953</v>
      </c>
      <c r="AI15" s="172">
        <f t="shared" si="2"/>
        <v>3.5410365055827286E-2</v>
      </c>
      <c r="AJ15" s="172">
        <f t="shared" si="3"/>
        <v>7.3680925569819422E-2</v>
      </c>
      <c r="AK15" s="172">
        <f t="shared" si="4"/>
        <v>7.4812646744256694E-2</v>
      </c>
      <c r="AL15" s="180">
        <f t="shared" si="16"/>
        <v>0.1839039373699034</v>
      </c>
      <c r="AM15" s="66"/>
    </row>
    <row r="16" spans="2:39" x14ac:dyDescent="0.3">
      <c r="B16" s="66"/>
      <c r="C16" s="84">
        <v>450</v>
      </c>
      <c r="D16" s="85">
        <v>0.88721550985402042</v>
      </c>
      <c r="E16" s="86">
        <f>IF($C16&lt;=Tariffs!$E$9,Tariffs!$G$9,IF(AND($C16&gt;Tariffs!$E$9,$C16&lt;=Tariffs!$E$10),Tariffs!$G$10,Tariffs!$G$11))</f>
        <v>12</v>
      </c>
      <c r="F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G16" s="87">
        <f t="shared" si="5"/>
        <v>94.800000000000011</v>
      </c>
      <c r="H16" s="88">
        <f>$C16*Tariffs!$J$8</f>
        <v>202.99095562003026</v>
      </c>
      <c r="I16" s="88">
        <f t="shared" si="6"/>
        <v>297.79095562003027</v>
      </c>
      <c r="J16" s="88">
        <f>I16*Tariffs!$I$8</f>
        <v>52.113417233505295</v>
      </c>
      <c r="K16" s="89">
        <f t="shared" si="7"/>
        <v>349.90437285353556</v>
      </c>
      <c r="L16" s="81"/>
      <c r="M16" s="86">
        <f>IF($C16&lt;=Tariffs!$E$9,Tariffs!$G$9,IF(AND($C16&gt;Tariffs!$E$9,$C16&lt;=Tariffs!$E$10),Tariffs!$G$10,Tariffs!$G$11))</f>
        <v>12</v>
      </c>
      <c r="N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O16" s="87">
        <f t="shared" si="8"/>
        <v>94.800000000000011</v>
      </c>
      <c r="P16" s="88">
        <f>$C16*Tariffs!$J$8</f>
        <v>202.99095562003026</v>
      </c>
      <c r="Q16" s="67"/>
      <c r="R16" s="88">
        <f>$C16*Tariffs!K$8</f>
        <v>10.574100000000001</v>
      </c>
      <c r="S16" s="88">
        <f>$C16*Tariffs!L$8</f>
        <v>22.002300000000002</v>
      </c>
      <c r="T16" s="88">
        <f>$C16*Tariffs!M$8</f>
        <v>22.340250000000001</v>
      </c>
      <c r="U16" s="67"/>
      <c r="V16" s="88">
        <f t="shared" si="9"/>
        <v>308.36505562003026</v>
      </c>
      <c r="W16" s="88">
        <f t="shared" si="10"/>
        <v>319.79325562003027</v>
      </c>
      <c r="X16" s="88">
        <f t="shared" si="11"/>
        <v>320.1312056200303</v>
      </c>
      <c r="Y16" s="67"/>
      <c r="Z16" s="88">
        <f>V16*(1+Tariffs!$I$8)</f>
        <v>362.32894035353559</v>
      </c>
      <c r="AA16" s="88">
        <f>W16*(1+Tariffs!$I$8)</f>
        <v>375.75707535353558</v>
      </c>
      <c r="AB16" s="88">
        <f>X16*(1+Tariffs!$I$8)</f>
        <v>376.1541666035356</v>
      </c>
      <c r="AC16" s="82"/>
      <c r="AD16" s="90">
        <f t="shared" si="0"/>
        <v>450</v>
      </c>
      <c r="AE16" s="88">
        <f t="shared" si="12"/>
        <v>12.424567500000023</v>
      </c>
      <c r="AF16" s="88">
        <f t="shared" si="13"/>
        <v>25.852702500000021</v>
      </c>
      <c r="AG16" s="88">
        <f t="shared" si="14"/>
        <v>26.249793750000038</v>
      </c>
      <c r="AH16" s="87">
        <f t="shared" si="15"/>
        <v>64.527063750000082</v>
      </c>
      <c r="AI16" s="173">
        <f t="shared" si="2"/>
        <v>3.5508465923633326E-2</v>
      </c>
      <c r="AJ16" s="173">
        <f t="shared" si="3"/>
        <v>7.3885051190319295E-2</v>
      </c>
      <c r="AK16" s="173">
        <f t="shared" si="4"/>
        <v>7.5019907684857001E-2</v>
      </c>
      <c r="AL16" s="181">
        <f t="shared" si="16"/>
        <v>0.18441342479880962</v>
      </c>
      <c r="AM16" s="66"/>
    </row>
    <row r="17" spans="2:39" x14ac:dyDescent="0.3">
      <c r="B17" s="66"/>
      <c r="C17" s="77">
        <v>500</v>
      </c>
      <c r="D17" s="78">
        <v>0.91174084953119194</v>
      </c>
      <c r="E17" s="79">
        <f>IF($C17&lt;=Tariffs!$E$9,Tariffs!$G$9,IF(AND($C17&gt;Tariffs!$E$9,$C17&lt;=Tariffs!$E$10),Tariffs!$G$10,Tariffs!$G$11))</f>
        <v>12</v>
      </c>
      <c r="F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G17" s="80">
        <f t="shared" si="5"/>
        <v>104.60000000000001</v>
      </c>
      <c r="H17" s="67">
        <f>$C17*Tariffs!$J$8</f>
        <v>225.54550624447808</v>
      </c>
      <c r="I17" s="67">
        <f t="shared" si="6"/>
        <v>330.1455062444781</v>
      </c>
      <c r="J17" s="67">
        <f>I17*Tariffs!$I$8</f>
        <v>57.775463592783666</v>
      </c>
      <c r="K17" s="81">
        <f t="shared" si="7"/>
        <v>387.92096983726174</v>
      </c>
      <c r="L17" s="81"/>
      <c r="M17" s="79">
        <f>IF($C17&lt;=Tariffs!$E$9,Tariffs!$G$9,IF(AND($C17&gt;Tariffs!$E$9,$C17&lt;=Tariffs!$E$10),Tariffs!$G$10,Tariffs!$G$11))</f>
        <v>12</v>
      </c>
      <c r="N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O17" s="80">
        <f t="shared" si="8"/>
        <v>104.60000000000001</v>
      </c>
      <c r="P17" s="67">
        <f>$C17*Tariffs!$J$8</f>
        <v>225.54550624447808</v>
      </c>
      <c r="Q17" s="67"/>
      <c r="R17" s="67">
        <f>$C17*Tariffs!K$8</f>
        <v>11.749000000000001</v>
      </c>
      <c r="S17" s="67">
        <f>$C17*Tariffs!L$8</f>
        <v>24.446999999999999</v>
      </c>
      <c r="T17" s="67">
        <f>$C17*Tariffs!M$8</f>
        <v>24.822500000000002</v>
      </c>
      <c r="U17" s="67"/>
      <c r="V17" s="67">
        <f t="shared" si="9"/>
        <v>341.89450624447812</v>
      </c>
      <c r="W17" s="67">
        <f t="shared" si="10"/>
        <v>354.5925062444781</v>
      </c>
      <c r="X17" s="67">
        <f t="shared" si="11"/>
        <v>354.96800624447809</v>
      </c>
      <c r="Y17" s="67"/>
      <c r="Z17" s="67">
        <f>V17*(1+Tariffs!$I$8)</f>
        <v>401.72604483726178</v>
      </c>
      <c r="AA17" s="67">
        <f>W17*(1+Tariffs!$I$8)</f>
        <v>416.64619483726176</v>
      </c>
      <c r="AB17" s="67">
        <f>X17*(1+Tariffs!$I$8)</f>
        <v>417.08740733726177</v>
      </c>
      <c r="AC17" s="82"/>
      <c r="AD17" s="83">
        <f t="shared" si="0"/>
        <v>500</v>
      </c>
      <c r="AE17" s="67">
        <f t="shared" si="12"/>
        <v>13.805075000000045</v>
      </c>
      <c r="AF17" s="67">
        <f t="shared" si="13"/>
        <v>28.725225000000023</v>
      </c>
      <c r="AG17" s="67">
        <f t="shared" si="14"/>
        <v>29.166437500000029</v>
      </c>
      <c r="AH17" s="80">
        <f t="shared" si="15"/>
        <v>71.696737500000097</v>
      </c>
      <c r="AI17" s="172">
        <f t="shared" si="2"/>
        <v>3.5587338848403816E-2</v>
      </c>
      <c r="AJ17" s="172">
        <f t="shared" si="3"/>
        <v>7.4049167829340679E-2</v>
      </c>
      <c r="AK17" s="172">
        <f t="shared" si="4"/>
        <v>7.5186545115711878E-2</v>
      </c>
      <c r="AL17" s="180">
        <f t="shared" si="16"/>
        <v>0.18482305179345637</v>
      </c>
      <c r="AM17" s="66"/>
    </row>
    <row r="18" spans="2:39" x14ac:dyDescent="0.3">
      <c r="B18" s="66"/>
      <c r="C18" s="84">
        <v>600</v>
      </c>
      <c r="D18" s="85">
        <v>0.94252602837402377</v>
      </c>
      <c r="E18" s="86">
        <f>IF($C18&lt;=Tariffs!$E$9,Tariffs!$G$9,IF(AND($C18&gt;Tariffs!$E$9,$C18&lt;=Tariffs!$E$10),Tariffs!$G$10,Tariffs!$G$11))</f>
        <v>17</v>
      </c>
      <c r="F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G18" s="87">
        <f t="shared" si="5"/>
        <v>132.10000000000002</v>
      </c>
      <c r="H18" s="88">
        <f>$C18*Tariffs!$J$8</f>
        <v>270.6546074933737</v>
      </c>
      <c r="I18" s="88">
        <f t="shared" si="6"/>
        <v>402.75460749337373</v>
      </c>
      <c r="J18" s="88">
        <f>I18*Tariffs!$I$8</f>
        <v>70.482056311340401</v>
      </c>
      <c r="K18" s="89">
        <f t="shared" si="7"/>
        <v>473.23666380471411</v>
      </c>
      <c r="L18" s="81"/>
      <c r="M18" s="86">
        <f>IF($C18&lt;=Tariffs!$E$9,Tariffs!$G$9,IF(AND($C18&gt;Tariffs!$E$9,$C18&lt;=Tariffs!$E$10),Tariffs!$G$10,Tariffs!$G$11))</f>
        <v>17</v>
      </c>
      <c r="N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O18" s="87">
        <f t="shared" si="8"/>
        <v>132.10000000000002</v>
      </c>
      <c r="P18" s="88">
        <f>$C18*Tariffs!$J$8</f>
        <v>270.6546074933737</v>
      </c>
      <c r="Q18" s="67"/>
      <c r="R18" s="88">
        <f>$C18*Tariffs!K$8</f>
        <v>14.098800000000001</v>
      </c>
      <c r="S18" s="88">
        <f>$C18*Tariffs!L$8</f>
        <v>29.336400000000001</v>
      </c>
      <c r="T18" s="88">
        <f>$C18*Tariffs!M$8</f>
        <v>29.787000000000003</v>
      </c>
      <c r="U18" s="67"/>
      <c r="V18" s="88">
        <f t="shared" si="9"/>
        <v>416.85340749337371</v>
      </c>
      <c r="W18" s="88">
        <f t="shared" si="10"/>
        <v>432.09100749337375</v>
      </c>
      <c r="X18" s="88">
        <f t="shared" si="11"/>
        <v>432.5416074933737</v>
      </c>
      <c r="Y18" s="67"/>
      <c r="Z18" s="88">
        <f>V18*(1+Tariffs!$I$8)</f>
        <v>489.80275380471414</v>
      </c>
      <c r="AA18" s="88">
        <f>W18*(1+Tariffs!$I$8)</f>
        <v>507.7069338047142</v>
      </c>
      <c r="AB18" s="88">
        <f>X18*(1+Tariffs!$I$8)</f>
        <v>508.23638880471412</v>
      </c>
      <c r="AC18" s="82"/>
      <c r="AD18" s="90">
        <f t="shared" si="0"/>
        <v>600</v>
      </c>
      <c r="AE18" s="88">
        <f t="shared" si="12"/>
        <v>16.566090000000031</v>
      </c>
      <c r="AF18" s="88">
        <f t="shared" si="13"/>
        <v>34.470270000000085</v>
      </c>
      <c r="AG18" s="88">
        <f t="shared" si="14"/>
        <v>34.999725000000012</v>
      </c>
      <c r="AH18" s="87">
        <f t="shared" si="15"/>
        <v>86.036085000000128</v>
      </c>
      <c r="AI18" s="173">
        <f t="shared" si="2"/>
        <v>3.5005931000384516E-2</v>
      </c>
      <c r="AJ18" s="173">
        <f t="shared" si="3"/>
        <v>7.283939017502794E-2</v>
      </c>
      <c r="AK18" s="173">
        <f t="shared" si="4"/>
        <v>7.3958185569584334E-2</v>
      </c>
      <c r="AL18" s="181">
        <f t="shared" si="16"/>
        <v>0.18180350674499679</v>
      </c>
      <c r="AM18" s="66"/>
    </row>
    <row r="19" spans="2:39" x14ac:dyDescent="0.3">
      <c r="B19" s="66"/>
      <c r="C19" s="77">
        <v>700</v>
      </c>
      <c r="D19" s="78">
        <v>0.96006202567078125</v>
      </c>
      <c r="E19" s="79">
        <f>IF($C19&lt;=Tariffs!$E$9,Tariffs!$G$9,IF(AND($C19&gt;Tariffs!$E$9,$C19&lt;=Tariffs!$E$10),Tariffs!$G$10,Tariffs!$G$11))</f>
        <v>17</v>
      </c>
      <c r="F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G19" s="80">
        <f t="shared" si="5"/>
        <v>154.60000000000002</v>
      </c>
      <c r="H19" s="67">
        <f>$C19*Tariffs!$J$8</f>
        <v>315.76370874226933</v>
      </c>
      <c r="I19" s="67">
        <f t="shared" si="6"/>
        <v>470.36370874226935</v>
      </c>
      <c r="J19" s="67">
        <f>I19*Tariffs!$I$8</f>
        <v>82.313649029897135</v>
      </c>
      <c r="K19" s="81">
        <f t="shared" si="7"/>
        <v>552.67735777216649</v>
      </c>
      <c r="L19" s="81"/>
      <c r="M19" s="79">
        <f>IF($C19&lt;=Tariffs!$E$9,Tariffs!$G$9,IF(AND($C19&gt;Tariffs!$E$9,$C19&lt;=Tariffs!$E$10),Tariffs!$G$10,Tariffs!$G$11))</f>
        <v>17</v>
      </c>
      <c r="N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O19" s="80">
        <f t="shared" si="8"/>
        <v>154.60000000000002</v>
      </c>
      <c r="P19" s="67">
        <f>$C19*Tariffs!$J$8</f>
        <v>315.76370874226933</v>
      </c>
      <c r="Q19" s="67"/>
      <c r="R19" s="67">
        <f>$C19*Tariffs!K$8</f>
        <v>16.448600000000003</v>
      </c>
      <c r="S19" s="67">
        <f>$C19*Tariffs!L$8</f>
        <v>34.2258</v>
      </c>
      <c r="T19" s="67">
        <f>$C19*Tariffs!M$8</f>
        <v>34.7515</v>
      </c>
      <c r="U19" s="67"/>
      <c r="V19" s="67">
        <f t="shared" si="9"/>
        <v>486.81230874226935</v>
      </c>
      <c r="W19" s="67">
        <f t="shared" si="10"/>
        <v>504.58950874226935</v>
      </c>
      <c r="X19" s="67">
        <f t="shared" si="11"/>
        <v>505.11520874226937</v>
      </c>
      <c r="Y19" s="67"/>
      <c r="Z19" s="67">
        <f>V19*(1+Tariffs!$I$8)</f>
        <v>572.00446277216656</v>
      </c>
      <c r="AA19" s="67">
        <f>W19*(1+Tariffs!$I$8)</f>
        <v>592.89267277216652</v>
      </c>
      <c r="AB19" s="67">
        <f>X19*(1+Tariffs!$I$8)</f>
        <v>593.51037027216648</v>
      </c>
      <c r="AC19" s="82"/>
      <c r="AD19" s="83">
        <f t="shared" si="0"/>
        <v>700</v>
      </c>
      <c r="AE19" s="67">
        <f t="shared" si="12"/>
        <v>19.327105000000074</v>
      </c>
      <c r="AF19" s="67">
        <f t="shared" si="13"/>
        <v>40.215315000000032</v>
      </c>
      <c r="AG19" s="67">
        <f t="shared" si="14"/>
        <v>40.833012499999995</v>
      </c>
      <c r="AH19" s="80">
        <f t="shared" si="15"/>
        <v>100.3754325000001</v>
      </c>
      <c r="AI19" s="172">
        <f t="shared" si="2"/>
        <v>3.4969959829560082E-2</v>
      </c>
      <c r="AJ19" s="172">
        <f t="shared" si="3"/>
        <v>7.2764542340050475E-2</v>
      </c>
      <c r="AK19" s="172">
        <f t="shared" si="4"/>
        <v>7.3882188089986478E-2</v>
      </c>
      <c r="AL19" s="180">
        <f t="shared" si="16"/>
        <v>0.18161669025959704</v>
      </c>
      <c r="AM19" s="66"/>
    </row>
    <row r="20" spans="2:39" x14ac:dyDescent="0.3">
      <c r="B20" s="66"/>
      <c r="C20" s="84">
        <v>800</v>
      </c>
      <c r="D20" s="85">
        <v>0.97093942689253809</v>
      </c>
      <c r="E20" s="86">
        <f>IF($C20&lt;=Tariffs!$E$9,Tariffs!$G$9,IF(AND($C20&gt;Tariffs!$E$9,$C20&lt;=Tariffs!$E$10),Tariffs!$G$10,Tariffs!$G$11))</f>
        <v>17</v>
      </c>
      <c r="F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G20" s="87">
        <f t="shared" si="5"/>
        <v>177.10000000000002</v>
      </c>
      <c r="H20" s="88">
        <f>$C20*Tariffs!$J$8</f>
        <v>360.87280999116496</v>
      </c>
      <c r="I20" s="88">
        <f t="shared" si="6"/>
        <v>537.97280999116492</v>
      </c>
      <c r="J20" s="88">
        <f>I20*Tariffs!$I$8</f>
        <v>94.145241748453856</v>
      </c>
      <c r="K20" s="89">
        <f t="shared" si="7"/>
        <v>632.11805173961875</v>
      </c>
      <c r="L20" s="81"/>
      <c r="M20" s="86">
        <f>IF($C20&lt;=Tariffs!$E$9,Tariffs!$G$9,IF(AND($C20&gt;Tariffs!$E$9,$C20&lt;=Tariffs!$E$10),Tariffs!$G$10,Tariffs!$G$11))</f>
        <v>17</v>
      </c>
      <c r="N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O20" s="87">
        <f t="shared" si="8"/>
        <v>177.10000000000002</v>
      </c>
      <c r="P20" s="88">
        <f>$C20*Tariffs!$J$8</f>
        <v>360.87280999116496</v>
      </c>
      <c r="Q20" s="67"/>
      <c r="R20" s="88">
        <f>$C20*Tariffs!K$8</f>
        <v>18.798400000000001</v>
      </c>
      <c r="S20" s="88">
        <f>$C20*Tariffs!L$8</f>
        <v>39.115200000000002</v>
      </c>
      <c r="T20" s="88">
        <f>$C20*Tariffs!M$8</f>
        <v>39.716000000000001</v>
      </c>
      <c r="U20" s="67"/>
      <c r="V20" s="88">
        <f t="shared" si="9"/>
        <v>556.77120999116494</v>
      </c>
      <c r="W20" s="88">
        <f t="shared" si="10"/>
        <v>577.08800999116488</v>
      </c>
      <c r="X20" s="88">
        <f t="shared" si="11"/>
        <v>577.68880999116493</v>
      </c>
      <c r="Y20" s="67"/>
      <c r="Z20" s="88">
        <f>V20*(1+Tariffs!$I$8)</f>
        <v>654.20617173961887</v>
      </c>
      <c r="AA20" s="88">
        <f>W20*(1+Tariffs!$I$8)</f>
        <v>678.07841173961879</v>
      </c>
      <c r="AB20" s="88">
        <f>X20*(1+Tariffs!$I$8)</f>
        <v>678.78435173961884</v>
      </c>
      <c r="AC20" s="82"/>
      <c r="AD20" s="90">
        <f t="shared" si="0"/>
        <v>800</v>
      </c>
      <c r="AE20" s="88">
        <f t="shared" si="12"/>
        <v>22.088120000000117</v>
      </c>
      <c r="AF20" s="88">
        <f t="shared" si="13"/>
        <v>45.960360000000037</v>
      </c>
      <c r="AG20" s="88">
        <f t="shared" si="14"/>
        <v>46.666300000000092</v>
      </c>
      <c r="AH20" s="87">
        <f t="shared" si="15"/>
        <v>114.71478000000025</v>
      </c>
      <c r="AI20" s="173">
        <f t="shared" si="2"/>
        <v>3.4943029928053093E-2</v>
      </c>
      <c r="AJ20" s="173">
        <f t="shared" si="3"/>
        <v>7.2708507332633454E-2</v>
      </c>
      <c r="AK20" s="173">
        <f t="shared" si="4"/>
        <v>7.3825292398425058E-2</v>
      </c>
      <c r="AL20" s="181">
        <f t="shared" si="16"/>
        <v>0.1814768296591116</v>
      </c>
      <c r="AM20" s="66"/>
    </row>
    <row r="21" spans="2:39" x14ac:dyDescent="0.3">
      <c r="B21" s="66"/>
      <c r="C21" s="77">
        <v>900</v>
      </c>
      <c r="D21" s="78">
        <v>0.97797243923968424</v>
      </c>
      <c r="E21" s="79">
        <f>IF($C21&lt;=Tariffs!$E$9,Tariffs!$G$9,IF(AND($C21&gt;Tariffs!$E$9,$C21&lt;=Tariffs!$E$10),Tariffs!$G$10,Tariffs!$G$11))</f>
        <v>17</v>
      </c>
      <c r="F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G21" s="80">
        <f t="shared" si="5"/>
        <v>199.60000000000002</v>
      </c>
      <c r="H21" s="67">
        <f>$C21*Tariffs!$J$8</f>
        <v>405.98191124006053</v>
      </c>
      <c r="I21" s="67">
        <f t="shared" si="6"/>
        <v>605.58191124006055</v>
      </c>
      <c r="J21" s="67">
        <f>I21*Tariffs!$I$8</f>
        <v>105.97683446701059</v>
      </c>
      <c r="K21" s="81">
        <f t="shared" si="7"/>
        <v>711.55874570707113</v>
      </c>
      <c r="L21" s="81"/>
      <c r="M21" s="79">
        <f>IF($C21&lt;=Tariffs!$E$9,Tariffs!$G$9,IF(AND($C21&gt;Tariffs!$E$9,$C21&lt;=Tariffs!$E$10),Tariffs!$G$10,Tariffs!$G$11))</f>
        <v>17</v>
      </c>
      <c r="N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O21" s="80">
        <f t="shared" si="8"/>
        <v>199.60000000000002</v>
      </c>
      <c r="P21" s="67">
        <f>$C21*Tariffs!$J$8</f>
        <v>405.98191124006053</v>
      </c>
      <c r="Q21" s="67"/>
      <c r="R21" s="67">
        <f>$C21*Tariffs!K$8</f>
        <v>21.148200000000003</v>
      </c>
      <c r="S21" s="67">
        <f>$C21*Tariffs!L$8</f>
        <v>44.004600000000003</v>
      </c>
      <c r="T21" s="67">
        <f>$C21*Tariffs!M$8</f>
        <v>44.680500000000002</v>
      </c>
      <c r="U21" s="67"/>
      <c r="V21" s="67">
        <f t="shared" si="9"/>
        <v>626.73011124006052</v>
      </c>
      <c r="W21" s="67">
        <f t="shared" si="10"/>
        <v>649.58651124006053</v>
      </c>
      <c r="X21" s="67">
        <f t="shared" si="11"/>
        <v>650.2624112400606</v>
      </c>
      <c r="Y21" s="67"/>
      <c r="Z21" s="67">
        <f>V21*(1+Tariffs!$I$8)</f>
        <v>736.40788070707117</v>
      </c>
      <c r="AA21" s="67">
        <f>W21*(1+Tariffs!$I$8)</f>
        <v>763.26415070707117</v>
      </c>
      <c r="AB21" s="67">
        <f>X21*(1+Tariffs!$I$8)</f>
        <v>764.0583332070712</v>
      </c>
      <c r="AC21" s="82"/>
      <c r="AD21" s="83">
        <f t="shared" si="0"/>
        <v>900</v>
      </c>
      <c r="AE21" s="67">
        <f t="shared" si="12"/>
        <v>24.849135000000047</v>
      </c>
      <c r="AF21" s="67">
        <f t="shared" si="13"/>
        <v>51.705405000000042</v>
      </c>
      <c r="AG21" s="67">
        <f t="shared" si="14"/>
        <v>52.499587500000075</v>
      </c>
      <c r="AH21" s="80">
        <f t="shared" si="15"/>
        <v>129.05412750000016</v>
      </c>
      <c r="AI21" s="172">
        <f t="shared" si="2"/>
        <v>3.4922113107200392E-2</v>
      </c>
      <c r="AJ21" s="172">
        <f t="shared" si="3"/>
        <v>7.2664984180077496E-2</v>
      </c>
      <c r="AK21" s="172">
        <f t="shared" si="4"/>
        <v>7.3781100740785144E-2</v>
      </c>
      <c r="AL21" s="180">
        <f t="shared" si="16"/>
        <v>0.18136819802806303</v>
      </c>
      <c r="AM21" s="66"/>
    </row>
    <row r="22" spans="2:39" x14ac:dyDescent="0.3">
      <c r="B22" s="66"/>
      <c r="C22" s="84">
        <v>1000</v>
      </c>
      <c r="D22" s="85">
        <v>0.98278472639334025</v>
      </c>
      <c r="E22" s="86">
        <f>IF($C22&lt;=Tariffs!$E$9,Tariffs!$G$9,IF(AND($C22&gt;Tariffs!$E$9,$C22&lt;=Tariffs!$E$10),Tariffs!$G$10,Tariffs!$G$11))</f>
        <v>17</v>
      </c>
      <c r="F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G22" s="87">
        <f t="shared" si="5"/>
        <v>222.10000000000002</v>
      </c>
      <c r="H22" s="88">
        <f>$C22*Tariffs!$J$8</f>
        <v>451.09101248895615</v>
      </c>
      <c r="I22" s="88">
        <f t="shared" si="6"/>
        <v>673.19101248895618</v>
      </c>
      <c r="J22" s="88">
        <f>I22*Tariffs!$I$8</f>
        <v>117.80842718556733</v>
      </c>
      <c r="K22" s="89">
        <f t="shared" si="7"/>
        <v>790.9994396745235</v>
      </c>
      <c r="L22" s="81"/>
      <c r="M22" s="86">
        <f>IF($C22&lt;=Tariffs!$E$9,Tariffs!$G$9,IF(AND($C22&gt;Tariffs!$E$9,$C22&lt;=Tariffs!$E$10),Tariffs!$G$10,Tariffs!$G$11))</f>
        <v>17</v>
      </c>
      <c r="N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O22" s="87">
        <f t="shared" si="8"/>
        <v>222.10000000000002</v>
      </c>
      <c r="P22" s="88">
        <f>$C22*Tariffs!$J$8</f>
        <v>451.09101248895615</v>
      </c>
      <c r="Q22" s="67"/>
      <c r="R22" s="88">
        <f>$C22*Tariffs!K$8</f>
        <v>23.498000000000001</v>
      </c>
      <c r="S22" s="88">
        <f>$C22*Tariffs!L$8</f>
        <v>48.893999999999998</v>
      </c>
      <c r="T22" s="88">
        <f>$C22*Tariffs!M$8</f>
        <v>49.645000000000003</v>
      </c>
      <c r="U22" s="67"/>
      <c r="V22" s="88">
        <f t="shared" si="9"/>
        <v>696.68901248895622</v>
      </c>
      <c r="W22" s="88">
        <f t="shared" si="10"/>
        <v>722.08501248895618</v>
      </c>
      <c r="X22" s="88">
        <f t="shared" si="11"/>
        <v>722.83601248895616</v>
      </c>
      <c r="Y22" s="67"/>
      <c r="Z22" s="88">
        <f>V22*(1+Tariffs!$I$8)</f>
        <v>818.60958967452359</v>
      </c>
      <c r="AA22" s="88">
        <f>W22*(1+Tariffs!$I$8)</f>
        <v>848.44988967452355</v>
      </c>
      <c r="AB22" s="88">
        <f>X22*(1+Tariffs!$I$8)</f>
        <v>849.33231467452356</v>
      </c>
      <c r="AC22" s="82"/>
      <c r="AD22" s="90">
        <f t="shared" si="0"/>
        <v>1000</v>
      </c>
      <c r="AE22" s="88">
        <f t="shared" si="12"/>
        <v>27.61015000000009</v>
      </c>
      <c r="AF22" s="88">
        <f t="shared" si="13"/>
        <v>57.450450000000046</v>
      </c>
      <c r="AG22" s="88">
        <f t="shared" si="14"/>
        <v>58.332875000000058</v>
      </c>
      <c r="AH22" s="87">
        <f t="shared" si="15"/>
        <v>143.39347500000019</v>
      </c>
      <c r="AI22" s="173">
        <f t="shared" si="2"/>
        <v>3.4905397671787242E-2</v>
      </c>
      <c r="AJ22" s="173">
        <f t="shared" si="3"/>
        <v>7.2630203156198725E-2</v>
      </c>
      <c r="AK22" s="173">
        <f t="shared" si="4"/>
        <v>7.3745785488802174E-2</v>
      </c>
      <c r="AL22" s="181">
        <f t="shared" si="16"/>
        <v>0.18128138631678814</v>
      </c>
      <c r="AM22" s="66"/>
    </row>
    <row r="23" spans="2:39" x14ac:dyDescent="0.3">
      <c r="B23" s="66"/>
      <c r="C23" s="77">
        <v>1100</v>
      </c>
      <c r="D23" s="78">
        <v>0.98635993645661879</v>
      </c>
      <c r="E23" s="79">
        <f>IF($C23&lt;=Tariffs!$E$9,Tariffs!$G$9,IF(AND($C23&gt;Tariffs!$E$9,$C23&lt;=Tariffs!$E$10),Tariffs!$G$10,Tariffs!$G$11))</f>
        <v>17</v>
      </c>
      <c r="F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G23" s="80">
        <f t="shared" si="5"/>
        <v>244.60000000000002</v>
      </c>
      <c r="H23" s="67">
        <f>$C23*Tariffs!$J$8</f>
        <v>496.20011373785178</v>
      </c>
      <c r="I23" s="67">
        <f t="shared" si="6"/>
        <v>740.8001137378518</v>
      </c>
      <c r="J23" s="67">
        <f>I23*Tariffs!$I$8</f>
        <v>129.64001990412405</v>
      </c>
      <c r="K23" s="81">
        <f t="shared" si="7"/>
        <v>870.44013364197588</v>
      </c>
      <c r="L23" s="81"/>
      <c r="M23" s="79">
        <f>IF($C23&lt;=Tariffs!$E$9,Tariffs!$G$9,IF(AND($C23&gt;Tariffs!$E$9,$C23&lt;=Tariffs!$E$10),Tariffs!$G$10,Tariffs!$G$11))</f>
        <v>17</v>
      </c>
      <c r="N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O23" s="80">
        <f t="shared" si="8"/>
        <v>244.60000000000002</v>
      </c>
      <c r="P23" s="67">
        <f>$C23*Tariffs!$J$8</f>
        <v>496.20011373785178</v>
      </c>
      <c r="Q23" s="67"/>
      <c r="R23" s="67">
        <f>$C23*Tariffs!K$8</f>
        <v>25.847800000000003</v>
      </c>
      <c r="S23" s="67">
        <f>$C23*Tariffs!L$8</f>
        <v>53.7834</v>
      </c>
      <c r="T23" s="67">
        <f>$C23*Tariffs!M$8</f>
        <v>54.609500000000004</v>
      </c>
      <c r="U23" s="67"/>
      <c r="V23" s="67">
        <f t="shared" si="9"/>
        <v>766.64791373785181</v>
      </c>
      <c r="W23" s="67">
        <f t="shared" si="10"/>
        <v>794.58351373785183</v>
      </c>
      <c r="X23" s="67">
        <f t="shared" si="11"/>
        <v>795.40961373785183</v>
      </c>
      <c r="Y23" s="67"/>
      <c r="Z23" s="67">
        <f>V23*(1+Tariffs!$I$8)</f>
        <v>900.8112986419759</v>
      </c>
      <c r="AA23" s="67">
        <f>W23*(1+Tariffs!$I$8)</f>
        <v>933.63562864197593</v>
      </c>
      <c r="AB23" s="67">
        <f>X23*(1+Tariffs!$I$8)</f>
        <v>934.60629614197592</v>
      </c>
      <c r="AC23" s="82"/>
      <c r="AD23" s="83">
        <f t="shared" si="0"/>
        <v>1100</v>
      </c>
      <c r="AE23" s="67">
        <f t="shared" si="12"/>
        <v>30.371165000000019</v>
      </c>
      <c r="AF23" s="67">
        <f t="shared" si="13"/>
        <v>63.195495000000051</v>
      </c>
      <c r="AG23" s="67">
        <f t="shared" si="14"/>
        <v>64.166162500000041</v>
      </c>
      <c r="AH23" s="80">
        <f t="shared" si="15"/>
        <v>157.73282250000011</v>
      </c>
      <c r="AI23" s="172">
        <f t="shared" si="2"/>
        <v>3.4891733303846095E-2</v>
      </c>
      <c r="AJ23" s="172">
        <f t="shared" si="3"/>
        <v>7.2601770710624569E-2</v>
      </c>
      <c r="AK23" s="172">
        <f t="shared" si="4"/>
        <v>7.3716916327748905E-2</v>
      </c>
      <c r="AL23" s="180">
        <f t="shared" si="16"/>
        <v>0.18121042034221957</v>
      </c>
      <c r="AM23" s="66"/>
    </row>
    <row r="24" spans="2:39" x14ac:dyDescent="0.3">
      <c r="B24" s="66"/>
      <c r="C24" s="84">
        <v>1200</v>
      </c>
      <c r="D24" s="85">
        <v>0.98893646449381123</v>
      </c>
      <c r="E24" s="86">
        <f>IF($C24&lt;=Tariffs!$E$9,Tariffs!$G$9,IF(AND($C24&gt;Tariffs!$E$9,$C24&lt;=Tariffs!$E$10),Tariffs!$G$10,Tariffs!$G$11))</f>
        <v>17</v>
      </c>
      <c r="F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G24" s="87">
        <f t="shared" si="5"/>
        <v>267.10000000000002</v>
      </c>
      <c r="H24" s="88">
        <f>$C24*Tariffs!$J$8</f>
        <v>541.30921498674741</v>
      </c>
      <c r="I24" s="88">
        <f t="shared" si="6"/>
        <v>808.40921498674743</v>
      </c>
      <c r="J24" s="88">
        <f>I24*Tariffs!$I$8</f>
        <v>141.47161262268079</v>
      </c>
      <c r="K24" s="89">
        <f t="shared" si="7"/>
        <v>949.88082760942825</v>
      </c>
      <c r="L24" s="81"/>
      <c r="M24" s="86">
        <f>IF($C24&lt;=Tariffs!$E$9,Tariffs!$G$9,IF(AND($C24&gt;Tariffs!$E$9,$C24&lt;=Tariffs!$E$10),Tariffs!$G$10,Tariffs!$G$11))</f>
        <v>17</v>
      </c>
      <c r="N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O24" s="87">
        <f t="shared" si="8"/>
        <v>267.10000000000002</v>
      </c>
      <c r="P24" s="88">
        <f>$C24*Tariffs!$J$8</f>
        <v>541.30921498674741</v>
      </c>
      <c r="Q24" s="67"/>
      <c r="R24" s="88">
        <f>$C24*Tariffs!K$8</f>
        <v>28.197600000000001</v>
      </c>
      <c r="S24" s="88">
        <f>$C24*Tariffs!L$8</f>
        <v>58.672800000000002</v>
      </c>
      <c r="T24" s="88">
        <f>$C24*Tariffs!M$8</f>
        <v>59.574000000000005</v>
      </c>
      <c r="U24" s="67"/>
      <c r="V24" s="88">
        <f t="shared" si="9"/>
        <v>836.60681498674739</v>
      </c>
      <c r="W24" s="88">
        <f t="shared" si="10"/>
        <v>867.08201498674748</v>
      </c>
      <c r="X24" s="88">
        <f t="shared" si="11"/>
        <v>867.98321498674738</v>
      </c>
      <c r="Y24" s="67"/>
      <c r="Z24" s="88">
        <f>V24*(1+Tariffs!$I$8)</f>
        <v>983.0130076094282</v>
      </c>
      <c r="AA24" s="88">
        <f>W24*(1+Tariffs!$I$8)</f>
        <v>1018.8213676094283</v>
      </c>
      <c r="AB24" s="88">
        <f>X24*(1+Tariffs!$I$8)</f>
        <v>1019.8802776094282</v>
      </c>
      <c r="AC24" s="82"/>
      <c r="AD24" s="90">
        <f t="shared" si="0"/>
        <v>1200</v>
      </c>
      <c r="AE24" s="88">
        <f t="shared" si="12"/>
        <v>33.132179999999948</v>
      </c>
      <c r="AF24" s="88">
        <f t="shared" si="13"/>
        <v>68.940540000000055</v>
      </c>
      <c r="AG24" s="88">
        <f t="shared" si="14"/>
        <v>69.999449999999911</v>
      </c>
      <c r="AH24" s="87">
        <f t="shared" si="15"/>
        <v>172.07216999999991</v>
      </c>
      <c r="AI24" s="173">
        <f t="shared" si="2"/>
        <v>3.488035450024185E-2</v>
      </c>
      <c r="AJ24" s="173">
        <f t="shared" si="3"/>
        <v>7.2578094005227189E-2</v>
      </c>
      <c r="AK24" s="173">
        <f t="shared" si="4"/>
        <v>7.3692875953889958E-2</v>
      </c>
      <c r="AL24" s="181">
        <f t="shared" si="16"/>
        <v>0.181151324459359</v>
      </c>
      <c r="AM24" s="66"/>
    </row>
    <row r="25" spans="2:39" x14ac:dyDescent="0.3">
      <c r="B25" s="66"/>
      <c r="C25" s="77">
        <v>1300</v>
      </c>
      <c r="D25" s="78">
        <v>0.99089874939237876</v>
      </c>
      <c r="E25" s="79">
        <f>IF($C25&lt;=Tariffs!$E$9,Tariffs!$G$9,IF(AND($C25&gt;Tariffs!$E$9,$C25&lt;=Tariffs!$E$10),Tariffs!$G$10,Tariffs!$G$11))</f>
        <v>17</v>
      </c>
      <c r="F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G25" s="80">
        <f t="shared" si="5"/>
        <v>289.60000000000002</v>
      </c>
      <c r="H25" s="67">
        <f>$C25*Tariffs!$J$8</f>
        <v>586.41831623564303</v>
      </c>
      <c r="I25" s="67">
        <f t="shared" si="6"/>
        <v>876.01831623564306</v>
      </c>
      <c r="J25" s="67">
        <f>I25*Tariffs!$I$8</f>
        <v>153.30320534123751</v>
      </c>
      <c r="K25" s="81">
        <f t="shared" si="7"/>
        <v>1029.3215215768805</v>
      </c>
      <c r="L25" s="81"/>
      <c r="M25" s="79">
        <f>IF($C25&lt;=Tariffs!$E$9,Tariffs!$G$9,IF(AND($C25&gt;Tariffs!$E$9,$C25&lt;=Tariffs!$E$10),Tariffs!$G$10,Tariffs!$G$11))</f>
        <v>17</v>
      </c>
      <c r="N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O25" s="80">
        <f t="shared" si="8"/>
        <v>289.60000000000002</v>
      </c>
      <c r="P25" s="67">
        <f>$C25*Tariffs!$J$8</f>
        <v>586.41831623564303</v>
      </c>
      <c r="Q25" s="67"/>
      <c r="R25" s="67">
        <f>$C25*Tariffs!K$8</f>
        <v>30.547400000000003</v>
      </c>
      <c r="S25" s="67">
        <f>$C25*Tariffs!L$8</f>
        <v>63.562199999999997</v>
      </c>
      <c r="T25" s="67">
        <f>$C25*Tariffs!M$8</f>
        <v>64.538499999999999</v>
      </c>
      <c r="U25" s="67"/>
      <c r="V25" s="67">
        <f t="shared" si="9"/>
        <v>906.56571623564309</v>
      </c>
      <c r="W25" s="67">
        <f t="shared" si="10"/>
        <v>939.58051623564302</v>
      </c>
      <c r="X25" s="67">
        <f t="shared" si="11"/>
        <v>940.55681623564305</v>
      </c>
      <c r="Y25" s="67"/>
      <c r="Z25" s="67">
        <f>V25*(1+Tariffs!$I$8)</f>
        <v>1065.2147165768806</v>
      </c>
      <c r="AA25" s="67">
        <f>W25*(1+Tariffs!$I$8)</f>
        <v>1104.0071065768807</v>
      </c>
      <c r="AB25" s="67">
        <f>X25*(1+Tariffs!$I$8)</f>
        <v>1105.1542590768806</v>
      </c>
      <c r="AC25" s="82"/>
      <c r="AD25" s="83">
        <f t="shared" si="0"/>
        <v>1300</v>
      </c>
      <c r="AE25" s="67">
        <f t="shared" si="12"/>
        <v>35.893195000000105</v>
      </c>
      <c r="AF25" s="67">
        <f t="shared" si="13"/>
        <v>74.685585000000174</v>
      </c>
      <c r="AG25" s="67">
        <f t="shared" si="14"/>
        <v>75.832737500000121</v>
      </c>
      <c r="AH25" s="80">
        <f t="shared" si="15"/>
        <v>186.4115175000004</v>
      </c>
      <c r="AI25" s="172">
        <f t="shared" si="2"/>
        <v>3.4870732077002753E-2</v>
      </c>
      <c r="AJ25" s="172">
        <f t="shared" si="3"/>
        <v>7.2558071928375378E-2</v>
      </c>
      <c r="AK25" s="172">
        <f t="shared" si="4"/>
        <v>7.3672546342786305E-2</v>
      </c>
      <c r="AL25" s="180">
        <f t="shared" si="16"/>
        <v>0.18110135034816444</v>
      </c>
      <c r="AM25" s="66"/>
    </row>
    <row r="26" spans="2:39" x14ac:dyDescent="0.3">
      <c r="B26" s="66"/>
      <c r="C26" s="84">
        <v>1400</v>
      </c>
      <c r="D26" s="85">
        <v>0.99241359610721602</v>
      </c>
      <c r="E26" s="86">
        <f>IF($C26&lt;=Tariffs!$E$9,Tariffs!$G$9,IF(AND($C26&gt;Tariffs!$E$9,$C26&lt;=Tariffs!$E$10),Tariffs!$G$10,Tariffs!$G$11))</f>
        <v>17</v>
      </c>
      <c r="F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G26" s="87">
        <f t="shared" si="5"/>
        <v>312.10000000000002</v>
      </c>
      <c r="H26" s="88">
        <f>$C26*Tariffs!$J$8</f>
        <v>631.52741748453866</v>
      </c>
      <c r="I26" s="88">
        <f t="shared" si="6"/>
        <v>943.62741748453868</v>
      </c>
      <c r="J26" s="88">
        <f>I26*Tariffs!$I$8</f>
        <v>165.13479805979426</v>
      </c>
      <c r="K26" s="89">
        <f t="shared" si="7"/>
        <v>1108.762215544333</v>
      </c>
      <c r="L26" s="81"/>
      <c r="M26" s="86">
        <f>IF($C26&lt;=Tariffs!$E$9,Tariffs!$G$9,IF(AND($C26&gt;Tariffs!$E$9,$C26&lt;=Tariffs!$E$10),Tariffs!$G$10,Tariffs!$G$11))</f>
        <v>17</v>
      </c>
      <c r="N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O26" s="87">
        <f t="shared" si="8"/>
        <v>312.10000000000002</v>
      </c>
      <c r="P26" s="88">
        <f>$C26*Tariffs!$J$8</f>
        <v>631.52741748453866</v>
      </c>
      <c r="Q26" s="67"/>
      <c r="R26" s="88">
        <f>$C26*Tariffs!K$8</f>
        <v>32.897200000000005</v>
      </c>
      <c r="S26" s="88">
        <f>$C26*Tariffs!L$8</f>
        <v>68.451599999999999</v>
      </c>
      <c r="T26" s="88">
        <f>$C26*Tariffs!M$8</f>
        <v>69.503</v>
      </c>
      <c r="U26" s="67"/>
      <c r="V26" s="88">
        <f t="shared" si="9"/>
        <v>976.52461748453868</v>
      </c>
      <c r="W26" s="88">
        <f t="shared" si="10"/>
        <v>1012.0790174845387</v>
      </c>
      <c r="X26" s="88">
        <f t="shared" si="11"/>
        <v>1013.1304174845387</v>
      </c>
      <c r="Y26" s="67"/>
      <c r="Z26" s="88">
        <f>V26*(1+Tariffs!$I$8)</f>
        <v>1147.4164255443329</v>
      </c>
      <c r="AA26" s="88">
        <f>W26*(1+Tariffs!$I$8)</f>
        <v>1189.1928455443331</v>
      </c>
      <c r="AB26" s="88">
        <f>X26*(1+Tariffs!$I$8)</f>
        <v>1190.428240544333</v>
      </c>
      <c r="AC26" s="82"/>
      <c r="AD26" s="90">
        <f t="shared" si="0"/>
        <v>1400</v>
      </c>
      <c r="AE26" s="88">
        <f t="shared" si="12"/>
        <v>38.654209999999921</v>
      </c>
      <c r="AF26" s="88">
        <f t="shared" si="13"/>
        <v>80.430630000000065</v>
      </c>
      <c r="AG26" s="88">
        <f t="shared" si="14"/>
        <v>81.666024999999991</v>
      </c>
      <c r="AH26" s="87">
        <f t="shared" si="15"/>
        <v>200.75086499999998</v>
      </c>
      <c r="AI26" s="173">
        <f t="shared" si="2"/>
        <v>3.4862488510237544E-2</v>
      </c>
      <c r="AJ26" s="173">
        <f t="shared" si="3"/>
        <v>7.2540918938614585E-2</v>
      </c>
      <c r="AK26" s="173">
        <f t="shared" si="4"/>
        <v>7.365512988725631E-2</v>
      </c>
      <c r="AL26" s="181">
        <f t="shared" si="16"/>
        <v>0.18105853733610844</v>
      </c>
      <c r="AM26" s="66"/>
    </row>
    <row r="27" spans="2:39" x14ac:dyDescent="0.3">
      <c r="B27" s="66"/>
      <c r="C27" s="77">
        <v>1500</v>
      </c>
      <c r="D27" s="78">
        <v>0.99364494598884179</v>
      </c>
      <c r="E27" s="79">
        <f>IF($C27&lt;=Tariffs!$E$9,Tariffs!$G$9,IF(AND($C27&gt;Tariffs!$E$9,$C27&lt;=Tariffs!$E$10),Tariffs!$G$10,Tariffs!$G$11))</f>
        <v>17</v>
      </c>
      <c r="F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G27" s="80">
        <f t="shared" si="5"/>
        <v>334.6</v>
      </c>
      <c r="H27" s="67">
        <f>$C27*Tariffs!$J$8</f>
        <v>676.63651873343429</v>
      </c>
      <c r="I27" s="67">
        <f t="shared" si="6"/>
        <v>1011.2365187334343</v>
      </c>
      <c r="J27" s="67">
        <f>I27*Tariffs!$I$8</f>
        <v>176.96639077835098</v>
      </c>
      <c r="K27" s="81">
        <f t="shared" si="7"/>
        <v>1188.2029095117853</v>
      </c>
      <c r="L27" s="81"/>
      <c r="M27" s="79">
        <f>IF($C27&lt;=Tariffs!$E$9,Tariffs!$G$9,IF(AND($C27&gt;Tariffs!$E$9,$C27&lt;=Tariffs!$E$10),Tariffs!$G$10,Tariffs!$G$11))</f>
        <v>17</v>
      </c>
      <c r="N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O27" s="80">
        <f t="shared" si="8"/>
        <v>334.6</v>
      </c>
      <c r="P27" s="67">
        <f>$C27*Tariffs!$J$8</f>
        <v>676.63651873343429</v>
      </c>
      <c r="Q27" s="67"/>
      <c r="R27" s="67">
        <f>$C27*Tariffs!K$8</f>
        <v>35.247</v>
      </c>
      <c r="S27" s="67">
        <f>$C27*Tariffs!L$8</f>
        <v>73.340999999999994</v>
      </c>
      <c r="T27" s="67">
        <f>$C27*Tariffs!M$8</f>
        <v>74.467500000000001</v>
      </c>
      <c r="U27" s="67"/>
      <c r="V27" s="67">
        <f t="shared" si="9"/>
        <v>1046.4835187334343</v>
      </c>
      <c r="W27" s="67">
        <f t="shared" si="10"/>
        <v>1084.5775187334343</v>
      </c>
      <c r="X27" s="67">
        <f t="shared" si="11"/>
        <v>1085.7040187334344</v>
      </c>
      <c r="Y27" s="67"/>
      <c r="Z27" s="67">
        <f>V27*(1+Tariffs!$I$8)</f>
        <v>1229.6181345117852</v>
      </c>
      <c r="AA27" s="67">
        <f>W27*(1+Tariffs!$I$8)</f>
        <v>1274.3785845117854</v>
      </c>
      <c r="AB27" s="67">
        <f>X27*(1+Tariffs!$I$8)</f>
        <v>1275.7022220117854</v>
      </c>
      <c r="AC27" s="82"/>
      <c r="AD27" s="83">
        <f t="shared" si="0"/>
        <v>1500</v>
      </c>
      <c r="AE27" s="67">
        <f t="shared" si="12"/>
        <v>41.415224999999964</v>
      </c>
      <c r="AF27" s="67">
        <f t="shared" si="13"/>
        <v>86.175675000000183</v>
      </c>
      <c r="AG27" s="67">
        <f t="shared" si="14"/>
        <v>87.499312500000087</v>
      </c>
      <c r="AH27" s="80">
        <f t="shared" si="15"/>
        <v>215.09021250000023</v>
      </c>
      <c r="AI27" s="172">
        <f t="shared" si="2"/>
        <v>3.4855347237802148E-2</v>
      </c>
      <c r="AJ27" s="172">
        <f t="shared" si="3"/>
        <v>7.2526059572946666E-2</v>
      </c>
      <c r="AK27" s="172">
        <f t="shared" si="4"/>
        <v>7.3640042285330054E-2</v>
      </c>
      <c r="AL27" s="180">
        <f t="shared" si="16"/>
        <v>0.18102144909607887</v>
      </c>
      <c r="AM27" s="66"/>
    </row>
    <row r="28" spans="2:39" x14ac:dyDescent="0.3">
      <c r="B28" s="66"/>
      <c r="C28" s="84">
        <v>1600</v>
      </c>
      <c r="D28" s="85">
        <v>0.9946185714766389</v>
      </c>
      <c r="E28" s="86">
        <f>IF($C28&lt;=Tariffs!$E$9,Tariffs!$G$9,IF(AND($C28&gt;Tariffs!$E$9,$C28&lt;=Tariffs!$E$10),Tariffs!$G$10,Tariffs!$G$11))</f>
        <v>17</v>
      </c>
      <c r="F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G28" s="87">
        <f t="shared" si="5"/>
        <v>360</v>
      </c>
      <c r="H28" s="88">
        <f>$C28*Tariffs!$J$8</f>
        <v>721.74561998232991</v>
      </c>
      <c r="I28" s="88">
        <f t="shared" si="6"/>
        <v>1081.74561998233</v>
      </c>
      <c r="J28" s="88">
        <f>I28*Tariffs!$I$8</f>
        <v>189.30548349690775</v>
      </c>
      <c r="K28" s="89">
        <f t="shared" si="7"/>
        <v>1271.0511034792378</v>
      </c>
      <c r="L28" s="81"/>
      <c r="M28" s="86">
        <f>IF($C28&lt;=Tariffs!$E$9,Tariffs!$G$9,IF(AND($C28&gt;Tariffs!$E$9,$C28&lt;=Tariffs!$E$10),Tariffs!$G$10,Tariffs!$G$11))</f>
        <v>17</v>
      </c>
      <c r="N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O28" s="87">
        <f t="shared" si="8"/>
        <v>360</v>
      </c>
      <c r="P28" s="88">
        <f>$C28*Tariffs!$J$8</f>
        <v>721.74561998232991</v>
      </c>
      <c r="Q28" s="67"/>
      <c r="R28" s="88">
        <f>$C28*Tariffs!K$8</f>
        <v>37.596800000000002</v>
      </c>
      <c r="S28" s="88">
        <f>$C28*Tariffs!L$8</f>
        <v>78.230400000000003</v>
      </c>
      <c r="T28" s="88">
        <f>$C28*Tariffs!M$8</f>
        <v>79.432000000000002</v>
      </c>
      <c r="U28" s="67"/>
      <c r="V28" s="88">
        <f t="shared" si="9"/>
        <v>1119.3424199823301</v>
      </c>
      <c r="W28" s="88">
        <f t="shared" si="10"/>
        <v>1159.9760199823299</v>
      </c>
      <c r="X28" s="88">
        <f t="shared" si="11"/>
        <v>1161.17761998233</v>
      </c>
      <c r="Y28" s="67"/>
      <c r="Z28" s="88">
        <f>V28*(1+Tariffs!$I$8)</f>
        <v>1315.2273434792378</v>
      </c>
      <c r="AA28" s="88">
        <f>W28*(1+Tariffs!$I$8)</f>
        <v>1362.9718234792376</v>
      </c>
      <c r="AB28" s="88">
        <f>X28*(1+Tariffs!$I$8)</f>
        <v>1364.383703479238</v>
      </c>
      <c r="AC28" s="82"/>
      <c r="AD28" s="114">
        <f t="shared" si="0"/>
        <v>1600</v>
      </c>
      <c r="AE28" s="136">
        <f t="shared" si="12"/>
        <v>44.176240000000007</v>
      </c>
      <c r="AF28" s="136">
        <f t="shared" si="13"/>
        <v>91.920719999999847</v>
      </c>
      <c r="AG28" s="136">
        <f t="shared" si="14"/>
        <v>93.332600000000184</v>
      </c>
      <c r="AH28" s="183">
        <f t="shared" si="15"/>
        <v>229.42956000000004</v>
      </c>
      <c r="AI28" s="184">
        <f t="shared" si="2"/>
        <v>3.4755675738824987E-2</v>
      </c>
      <c r="AJ28" s="184">
        <f t="shared" si="3"/>
        <v>7.231866582577684E-2</v>
      </c>
      <c r="AK28" s="184">
        <f t="shared" si="4"/>
        <v>7.3429463020425967E-2</v>
      </c>
      <c r="AL28" s="185">
        <f t="shared" si="16"/>
        <v>0.18050380458502779</v>
      </c>
      <c r="AM28" s="66"/>
    </row>
    <row r="29" spans="2:3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x14ac:dyDescent="0.3">
      <c r="L30" s="68"/>
    </row>
    <row r="31" spans="2:39" x14ac:dyDescent="0.3">
      <c r="L31" s="68"/>
    </row>
    <row r="32" spans="2:3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AE5:AH5"/>
    <mergeCell ref="AI5:AL5"/>
    <mergeCell ref="AE4:AL4"/>
    <mergeCell ref="E4:J4"/>
    <mergeCell ref="N4:AB4"/>
    <mergeCell ref="R5:T5"/>
    <mergeCell ref="V5:X5"/>
    <mergeCell ref="Z5:A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40FF8-0D0F-42B7-B051-966EAC16DB02}">
  <dimension ref="B1:AM719"/>
  <sheetViews>
    <sheetView workbookViewId="0">
      <selection activeCell="D7" sqref="D7:D28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customWidth="1" collapsed="1"/>
    <col min="30" max="30" width="10" style="68" bestFit="1" customWidth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1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18" customHeight="1" x14ac:dyDescent="0.3">
      <c r="B3" s="66"/>
      <c r="C3" s="69" t="str">
        <f>"Employee Tariff Bill Impacts"&amp;"-"&amp;'CETR Rate'!I3</f>
        <v>Employee Tariff Bill Impacts-Battery Energy Storage Systems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 t="str">
        <f>C3</f>
        <v>Employee Tariff Bill Impacts-Battery Energy Storage Systems</v>
      </c>
      <c r="AG3" s="66"/>
      <c r="AH3" s="66"/>
      <c r="AI3" s="66"/>
      <c r="AJ3" s="66"/>
      <c r="AK3" s="66"/>
      <c r="AL3" s="66"/>
      <c r="AM3" s="66"/>
    </row>
    <row r="4" spans="2:39" ht="30.6" customHeight="1" x14ac:dyDescent="0.3">
      <c r="B4" s="66"/>
      <c r="C4" s="70"/>
      <c r="D4" s="71"/>
      <c r="E4" s="251" t="s">
        <v>103</v>
      </c>
      <c r="F4" s="252"/>
      <c r="G4" s="252"/>
      <c r="H4" s="252"/>
      <c r="I4" s="252"/>
      <c r="J4" s="252"/>
      <c r="K4" s="74"/>
      <c r="L4" s="112"/>
      <c r="M4" s="74"/>
      <c r="N4" s="251" t="s">
        <v>113</v>
      </c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75"/>
      <c r="AD4" s="179"/>
      <c r="AE4" s="250" t="s">
        <v>152</v>
      </c>
      <c r="AF4" s="250"/>
      <c r="AG4" s="250"/>
      <c r="AH4" s="250"/>
      <c r="AI4" s="250"/>
      <c r="AJ4" s="250"/>
      <c r="AK4" s="250"/>
      <c r="AL4" s="250"/>
      <c r="AM4" s="66"/>
    </row>
    <row r="5" spans="2:3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3" t="s">
        <v>151</v>
      </c>
      <c r="S5" s="253"/>
      <c r="T5" s="253"/>
      <c r="U5" s="73"/>
      <c r="V5" s="254" t="s">
        <v>99</v>
      </c>
      <c r="W5" s="254"/>
      <c r="X5" s="254"/>
      <c r="Y5" s="73"/>
      <c r="Z5" s="254" t="s">
        <v>95</v>
      </c>
      <c r="AA5" s="254"/>
      <c r="AB5" s="254"/>
      <c r="AC5" s="75"/>
      <c r="AD5" s="178"/>
      <c r="AE5" s="249" t="s">
        <v>101</v>
      </c>
      <c r="AF5" s="249"/>
      <c r="AG5" s="249"/>
      <c r="AH5" s="249"/>
      <c r="AI5" s="249" t="s">
        <v>102</v>
      </c>
      <c r="AJ5" s="249"/>
      <c r="AK5" s="249"/>
      <c r="AL5" s="249"/>
      <c r="AM5" s="66"/>
    </row>
    <row r="6" spans="2:3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157</v>
      </c>
      <c r="AI6" s="176">
        <v>2024</v>
      </c>
      <c r="AJ6" s="176">
        <v>2025</v>
      </c>
      <c r="AK6" s="176">
        <v>2026</v>
      </c>
      <c r="AL6" s="176" t="s">
        <v>157</v>
      </c>
      <c r="AM6" s="66"/>
    </row>
    <row r="7" spans="2:39" x14ac:dyDescent="0.3">
      <c r="B7" s="66"/>
      <c r="C7" s="77">
        <v>15</v>
      </c>
      <c r="D7" s="78">
        <v>0</v>
      </c>
      <c r="E7" s="79"/>
      <c r="F7" s="67">
        <f>IF($C7&gt;Tariffs!$E$21,(Tariffs!$F$19*Tariffs!$H$19)+(Tariffs!$F$20*Tariffs!$H$20)+(Tariffs!$F$21*Tariffs!$H$21)+(($C7-Tariffs!$E$21)*Tariffs!$H$22),IF(AND($C7&gt;Tariffs!$E$19,$C7&lt;=Tariffs!$E$20),(Tariffs!$F$19*Tariffs!$H$19)+(($C7-Tariffs!$E$19)*Tariffs!$H$20),IF(AND($C7&gt;Tariffs!$E$20,$C7&lt;=Tariffs!$E$21),(Tariffs!$F$19*Tariffs!$H$19)+(Tariffs!$F$20*Tariffs!$H$20)+(($C7-Tariffs!$E$20)*Tariffs!$H$21),$C7*Tariffs!$H$19)))</f>
        <v>2.0012684411273489</v>
      </c>
      <c r="G7" s="80">
        <f>F7+E7</f>
        <v>2.0012684411273489</v>
      </c>
      <c r="H7" s="67">
        <f>$C7*Tariffs!$J$8</f>
        <v>6.7663651873343422</v>
      </c>
      <c r="I7" s="67">
        <f>H7+G7</f>
        <v>8.7676336284616916</v>
      </c>
      <c r="J7" s="67">
        <f>I7*Tariffs!$I$8</f>
        <v>1.534335884980796</v>
      </c>
      <c r="K7" s="81">
        <f>J7+I7</f>
        <v>10.301969513442488</v>
      </c>
      <c r="L7" s="81"/>
      <c r="M7" s="79"/>
      <c r="N7" s="67">
        <f>F7</f>
        <v>2.0012684411273489</v>
      </c>
      <c r="O7" s="80">
        <f>N7+M7</f>
        <v>2.0012684411273489</v>
      </c>
      <c r="P7" s="67">
        <f>$C7*Tariffs!$J$8</f>
        <v>6.7663651873343422</v>
      </c>
      <c r="Q7" s="67"/>
      <c r="R7" s="67">
        <f>$C7*Tariffs!K$18</f>
        <v>0.35247000000000001</v>
      </c>
      <c r="S7" s="67">
        <f>$C7*Tariffs!L$18</f>
        <v>0.73341000000000001</v>
      </c>
      <c r="T7" s="67">
        <f>$C7*Tariffs!M$18</f>
        <v>0.74467499999999998</v>
      </c>
      <c r="U7" s="67"/>
      <c r="V7" s="67">
        <f>$P7+$O7+R7</f>
        <v>9.1201036284616919</v>
      </c>
      <c r="W7" s="67">
        <f>$P7+$O7+S7</f>
        <v>9.5010436284616908</v>
      </c>
      <c r="X7" s="67">
        <f>$P7+$O7+T7</f>
        <v>9.5123086284616925</v>
      </c>
      <c r="Y7" s="67"/>
      <c r="Z7" s="67">
        <f>V7*(1+Tariffs!$I$8)</f>
        <v>10.716121763442489</v>
      </c>
      <c r="AA7" s="67">
        <f>W7*(1+Tariffs!$I$8)</f>
        <v>11.163726263442488</v>
      </c>
      <c r="AB7" s="67">
        <f>X7*(1+Tariffs!$I$8)</f>
        <v>11.17696263844249</v>
      </c>
      <c r="AC7" s="82"/>
      <c r="AD7" s="83">
        <f t="shared" ref="AD7:AD28" si="0">C7</f>
        <v>15</v>
      </c>
      <c r="AE7" s="67">
        <f>Z7-$K7</f>
        <v>0.41415225000000078</v>
      </c>
      <c r="AF7" s="67">
        <f t="shared" ref="AF7:AG22" si="1">AA7-$K7</f>
        <v>0.86175674999999963</v>
      </c>
      <c r="AG7" s="67">
        <f t="shared" si="1"/>
        <v>0.87499312500000137</v>
      </c>
      <c r="AH7" s="80">
        <f>SUM(AE7:AG7)</f>
        <v>2.1509021250000018</v>
      </c>
      <c r="AI7" s="172">
        <f t="shared" ref="AI7:AI28" si="2">Z7/$K7-1</f>
        <v>4.0201269229111602E-2</v>
      </c>
      <c r="AJ7" s="172">
        <f t="shared" ref="AJ7:AJ28" si="3">AA7/$K7-1</f>
        <v>8.3649708813012813E-2</v>
      </c>
      <c r="AK7" s="172">
        <f t="shared" ref="AK7:AK28" si="4">AB7/$K7-1</f>
        <v>8.493454808405998E-2</v>
      </c>
      <c r="AL7" s="180">
        <f>SUM(AI7:AK7)</f>
        <v>0.2087855261261844</v>
      </c>
      <c r="AM7" s="66"/>
    </row>
    <row r="8" spans="2:39" x14ac:dyDescent="0.3">
      <c r="B8" s="66"/>
      <c r="C8" s="84">
        <v>50</v>
      </c>
      <c r="D8" s="85">
        <v>2.2026431718061675E-2</v>
      </c>
      <c r="E8" s="86"/>
      <c r="F8" s="88">
        <f>IF($C8&gt;Tariffs!$E$21,(Tariffs!$F$19*Tariffs!$H$19)+(Tariffs!$F$20*Tariffs!$H$20)+(Tariffs!$F$21*Tariffs!$H$21)+(($C8-Tariffs!$E$21)*Tariffs!$H$22),IF(AND($C8&gt;Tariffs!$E$19,$C8&lt;=Tariffs!$E$20),(Tariffs!$F$19*Tariffs!$H$19)+(($C8-Tariffs!$E$19)*Tariffs!$H$20),IF(AND($C8&gt;Tariffs!$E$20,$C8&lt;=Tariffs!$E$21),(Tariffs!$F$19*Tariffs!$H$19)+(Tariffs!$F$20*Tariffs!$H$20)+(($C8-Tariffs!$E$20)*Tariffs!$H$21),$C8*Tariffs!$H$19)))</f>
        <v>6.6708948037578288</v>
      </c>
      <c r="G8" s="87">
        <f t="shared" ref="G8:G28" si="5">F8+E8</f>
        <v>6.6708948037578288</v>
      </c>
      <c r="H8" s="88">
        <f>$C8*Tariffs!$J$8</f>
        <v>22.55455062444781</v>
      </c>
      <c r="I8" s="88">
        <f t="shared" ref="I8:I28" si="6">H8+G8</f>
        <v>29.225445428205639</v>
      </c>
      <c r="J8" s="88">
        <f>I8*Tariffs!$I$8</f>
        <v>5.1144529499359868</v>
      </c>
      <c r="K8" s="89">
        <f t="shared" ref="K8:K28" si="7">J8+I8</f>
        <v>34.339898378141626</v>
      </c>
      <c r="L8" s="81"/>
      <c r="M8" s="86"/>
      <c r="N8" s="88">
        <f t="shared" ref="N8:N28" si="8">F8</f>
        <v>6.6708948037578288</v>
      </c>
      <c r="O8" s="87">
        <f t="shared" ref="O8:O28" si="9">N8+M8</f>
        <v>6.6708948037578288</v>
      </c>
      <c r="P8" s="88">
        <f>$C8*Tariffs!$J$8</f>
        <v>22.55455062444781</v>
      </c>
      <c r="Q8" s="67"/>
      <c r="R8" s="88">
        <f>$C8*Tariffs!K$18</f>
        <v>1.1749000000000001</v>
      </c>
      <c r="S8" s="88">
        <f>$C8*Tariffs!L$18</f>
        <v>2.4447000000000001</v>
      </c>
      <c r="T8" s="88">
        <f>$C8*Tariffs!M$18</f>
        <v>2.4822500000000001</v>
      </c>
      <c r="U8" s="67"/>
      <c r="V8" s="88">
        <f t="shared" ref="V8:X28" si="10">$P8+$O8+R8</f>
        <v>30.40034542820564</v>
      </c>
      <c r="W8" s="88">
        <f t="shared" si="10"/>
        <v>31.67014542820564</v>
      </c>
      <c r="X8" s="88">
        <f t="shared" si="10"/>
        <v>31.707695428205639</v>
      </c>
      <c r="Y8" s="67"/>
      <c r="Z8" s="88">
        <f>V8*(1+Tariffs!$I$8)</f>
        <v>35.720405878141626</v>
      </c>
      <c r="AA8" s="88">
        <f>W8*(1+Tariffs!$I$8)</f>
        <v>37.212420878141629</v>
      </c>
      <c r="AB8" s="88">
        <f>X8*(1+Tariffs!$I$8)</f>
        <v>37.256542128141625</v>
      </c>
      <c r="AC8" s="82"/>
      <c r="AD8" s="90">
        <f t="shared" si="0"/>
        <v>50</v>
      </c>
      <c r="AE8" s="88">
        <f t="shared" ref="AE8:AG28" si="11">Z8-$K8</f>
        <v>1.3805075000000002</v>
      </c>
      <c r="AF8" s="88">
        <f t="shared" si="1"/>
        <v>2.8725225000000023</v>
      </c>
      <c r="AG8" s="88">
        <f t="shared" si="1"/>
        <v>2.9166437499999986</v>
      </c>
      <c r="AH8" s="87">
        <f t="shared" ref="AH8:AH28" si="12">SUM(AE8:AG8)</f>
        <v>7.1696737500000012</v>
      </c>
      <c r="AI8" s="173">
        <f t="shared" si="2"/>
        <v>4.020126922911138E-2</v>
      </c>
      <c r="AJ8" s="173">
        <f t="shared" si="3"/>
        <v>8.3649708813013035E-2</v>
      </c>
      <c r="AK8" s="173">
        <f t="shared" si="4"/>
        <v>8.4934548084059758E-2</v>
      </c>
      <c r="AL8" s="181">
        <f t="shared" ref="AL8:AL28" si="13">SUM(AI8:AK8)</f>
        <v>0.20878552612618417</v>
      </c>
      <c r="AM8" s="66"/>
    </row>
    <row r="9" spans="2:39" x14ac:dyDescent="0.3">
      <c r="B9" s="66"/>
      <c r="C9" s="77">
        <v>100</v>
      </c>
      <c r="D9" s="78">
        <v>7.312775330396476E-2</v>
      </c>
      <c r="E9" s="79"/>
      <c r="F9" s="67">
        <f>IF($C9&gt;Tariffs!$E$21,(Tariffs!$F$19*Tariffs!$H$19)+(Tariffs!$F$20*Tariffs!$H$20)+(Tariffs!$F$21*Tariffs!$H$21)+(($C9-Tariffs!$E$21)*Tariffs!$H$22),IF(AND($C9&gt;Tariffs!$E$19,$C9&lt;=Tariffs!$E$20),(Tariffs!$F$19*Tariffs!$H$19)+(($C9-Tariffs!$E$19)*Tariffs!$H$20),IF(AND($C9&gt;Tariffs!$E$20,$C9&lt;=Tariffs!$E$21),(Tariffs!$F$19*Tariffs!$H$19)+(Tariffs!$F$20*Tariffs!$H$20)+(($C9-Tariffs!$E$20)*Tariffs!$H$21),$C9*Tariffs!$H$19)))</f>
        <v>13.341789607515658</v>
      </c>
      <c r="G9" s="80">
        <f t="shared" si="5"/>
        <v>13.341789607515658</v>
      </c>
      <c r="H9" s="67">
        <f>$C9*Tariffs!$J$8</f>
        <v>45.10910124889562</v>
      </c>
      <c r="I9" s="67">
        <f t="shared" si="6"/>
        <v>58.450890856411277</v>
      </c>
      <c r="J9" s="67">
        <f>I9*Tariffs!$I$8</f>
        <v>10.228905899871974</v>
      </c>
      <c r="K9" s="81">
        <f t="shared" si="7"/>
        <v>68.679796756283253</v>
      </c>
      <c r="L9" s="81"/>
      <c r="M9" s="79"/>
      <c r="N9" s="67">
        <f t="shared" si="8"/>
        <v>13.341789607515658</v>
      </c>
      <c r="O9" s="80">
        <f t="shared" si="9"/>
        <v>13.341789607515658</v>
      </c>
      <c r="P9" s="67">
        <f>$C9*Tariffs!$J$8</f>
        <v>45.10910124889562</v>
      </c>
      <c r="Q9" s="67"/>
      <c r="R9" s="67">
        <f>$C9*Tariffs!K$18</f>
        <v>2.3498000000000001</v>
      </c>
      <c r="S9" s="67">
        <f>$C9*Tariffs!L$18</f>
        <v>4.8894000000000002</v>
      </c>
      <c r="T9" s="67">
        <f>$C9*Tariffs!M$18</f>
        <v>4.9645000000000001</v>
      </c>
      <c r="U9" s="67"/>
      <c r="V9" s="67">
        <f t="shared" si="10"/>
        <v>60.800690856411279</v>
      </c>
      <c r="W9" s="67">
        <f t="shared" si="10"/>
        <v>63.340290856411279</v>
      </c>
      <c r="X9" s="67">
        <f t="shared" si="10"/>
        <v>63.415390856411278</v>
      </c>
      <c r="Y9" s="67"/>
      <c r="Z9" s="67">
        <f>V9*(1+Tariffs!$I$8)</f>
        <v>71.440811756283253</v>
      </c>
      <c r="AA9" s="67">
        <f>W9*(1+Tariffs!$I$8)</f>
        <v>74.424841756283257</v>
      </c>
      <c r="AB9" s="67">
        <f>X9*(1+Tariffs!$I$8)</f>
        <v>74.51308425628325</v>
      </c>
      <c r="AC9" s="82"/>
      <c r="AD9" s="83">
        <f t="shared" si="0"/>
        <v>100</v>
      </c>
      <c r="AE9" s="67">
        <f t="shared" si="11"/>
        <v>2.7610150000000004</v>
      </c>
      <c r="AF9" s="67">
        <f t="shared" si="1"/>
        <v>5.7450450000000046</v>
      </c>
      <c r="AG9" s="67">
        <f t="shared" si="1"/>
        <v>5.8332874999999973</v>
      </c>
      <c r="AH9" s="80">
        <f t="shared" si="12"/>
        <v>14.339347500000002</v>
      </c>
      <c r="AI9" s="172">
        <f t="shared" si="2"/>
        <v>4.020126922911138E-2</v>
      </c>
      <c r="AJ9" s="172">
        <f t="shared" si="3"/>
        <v>8.3649708813013035E-2</v>
      </c>
      <c r="AK9" s="172">
        <f t="shared" si="4"/>
        <v>8.4934548084059758E-2</v>
      </c>
      <c r="AL9" s="180">
        <f t="shared" si="13"/>
        <v>0.20878552612618417</v>
      </c>
      <c r="AM9" s="66"/>
    </row>
    <row r="10" spans="2:39" x14ac:dyDescent="0.3">
      <c r="B10" s="66"/>
      <c r="C10" s="84">
        <v>150</v>
      </c>
      <c r="D10" s="85">
        <v>0.15964757709251101</v>
      </c>
      <c r="E10" s="86"/>
      <c r="F10" s="88">
        <f>IF($C10&gt;Tariffs!$E$21,(Tariffs!$F$19*Tariffs!$H$19)+(Tariffs!$F$20*Tariffs!$H$20)+(Tariffs!$F$21*Tariffs!$H$21)+(($C10-Tariffs!$E$21)*Tariffs!$H$22),IF(AND($C10&gt;Tariffs!$E$19,$C10&lt;=Tariffs!$E$20),(Tariffs!$F$19*Tariffs!$H$19)+(($C10-Tariffs!$E$19)*Tariffs!$H$20),IF(AND($C10&gt;Tariffs!$E$20,$C10&lt;=Tariffs!$E$21),(Tariffs!$F$19*Tariffs!$H$19)+(Tariffs!$F$20*Tariffs!$H$20)+(($C10-Tariffs!$E$20)*Tariffs!$H$21),$C10*Tariffs!$H$19)))</f>
        <v>20.012684411273487</v>
      </c>
      <c r="G10" s="87">
        <f t="shared" si="5"/>
        <v>20.012684411273487</v>
      </c>
      <c r="H10" s="88">
        <f>$C10*Tariffs!$J$8</f>
        <v>67.663651873343426</v>
      </c>
      <c r="I10" s="88">
        <f t="shared" si="6"/>
        <v>87.676336284616909</v>
      </c>
      <c r="J10" s="88">
        <f>I10*Tariffs!$I$8</f>
        <v>15.343358849807958</v>
      </c>
      <c r="K10" s="89">
        <f t="shared" si="7"/>
        <v>103.01969513442486</v>
      </c>
      <c r="L10" s="81"/>
      <c r="M10" s="86"/>
      <c r="N10" s="88">
        <f t="shared" si="8"/>
        <v>20.012684411273487</v>
      </c>
      <c r="O10" s="87">
        <f t="shared" si="9"/>
        <v>20.012684411273487</v>
      </c>
      <c r="P10" s="88">
        <f>$C10*Tariffs!$J$8</f>
        <v>67.663651873343426</v>
      </c>
      <c r="Q10" s="67"/>
      <c r="R10" s="88">
        <f>$C10*Tariffs!K$18</f>
        <v>3.5247000000000002</v>
      </c>
      <c r="S10" s="88">
        <f>$C10*Tariffs!L$18</f>
        <v>7.3341000000000003</v>
      </c>
      <c r="T10" s="88">
        <f>$C10*Tariffs!M$18</f>
        <v>7.4467500000000006</v>
      </c>
      <c r="U10" s="67"/>
      <c r="V10" s="88">
        <f t="shared" si="10"/>
        <v>91.201036284616904</v>
      </c>
      <c r="W10" s="88">
        <f t="shared" si="10"/>
        <v>95.010436284616915</v>
      </c>
      <c r="X10" s="88">
        <f t="shared" si="10"/>
        <v>95.123086284616903</v>
      </c>
      <c r="Y10" s="67"/>
      <c r="Z10" s="88">
        <f>V10*(1+Tariffs!$I$8)</f>
        <v>107.16121763442487</v>
      </c>
      <c r="AA10" s="88">
        <f>W10*(1+Tariffs!$I$8)</f>
        <v>111.63726263442489</v>
      </c>
      <c r="AB10" s="88">
        <f>X10*(1+Tariffs!$I$8)</f>
        <v>111.76962638442487</v>
      </c>
      <c r="AC10" s="82"/>
      <c r="AD10" s="90">
        <f t="shared" si="0"/>
        <v>150</v>
      </c>
      <c r="AE10" s="88">
        <f t="shared" si="11"/>
        <v>4.1415225000000078</v>
      </c>
      <c r="AF10" s="88">
        <f t="shared" si="1"/>
        <v>8.6175675000000211</v>
      </c>
      <c r="AG10" s="88">
        <f t="shared" si="1"/>
        <v>8.749931250000003</v>
      </c>
      <c r="AH10" s="87">
        <f t="shared" si="12"/>
        <v>21.509021250000032</v>
      </c>
      <c r="AI10" s="173">
        <f t="shared" si="2"/>
        <v>4.0201269229111602E-2</v>
      </c>
      <c r="AJ10" s="173">
        <f t="shared" si="3"/>
        <v>8.3649708813013035E-2</v>
      </c>
      <c r="AK10" s="173">
        <f t="shared" si="4"/>
        <v>8.493454808405998E-2</v>
      </c>
      <c r="AL10" s="181">
        <f t="shared" si="13"/>
        <v>0.20878552612618462</v>
      </c>
      <c r="AM10" s="66"/>
    </row>
    <row r="11" spans="2:39" x14ac:dyDescent="0.3">
      <c r="B11" s="66"/>
      <c r="C11" s="77">
        <v>200</v>
      </c>
      <c r="D11" s="78">
        <v>0.2729515418502203</v>
      </c>
      <c r="E11" s="79"/>
      <c r="F11" s="67">
        <f>IF($C11&gt;Tariffs!$E$21,(Tariffs!$F$19*Tariffs!$H$19)+(Tariffs!$F$20*Tariffs!$H$20)+(Tariffs!$F$21*Tariffs!$H$21)+(($C11-Tariffs!$E$21)*Tariffs!$H$22),IF(AND($C11&gt;Tariffs!$E$19,$C11&lt;=Tariffs!$E$20),(Tariffs!$F$19*Tariffs!$H$19)+(($C11-Tariffs!$E$19)*Tariffs!$H$20),IF(AND($C11&gt;Tariffs!$E$20,$C11&lt;=Tariffs!$E$21),(Tariffs!$F$19*Tariffs!$H$19)+(Tariffs!$F$20*Tariffs!$H$20)+(($C11-Tariffs!$E$20)*Tariffs!$H$21),$C11*Tariffs!$H$19)))</f>
        <v>27.886684411273485</v>
      </c>
      <c r="G11" s="80">
        <f t="shared" si="5"/>
        <v>27.886684411273485</v>
      </c>
      <c r="H11" s="67">
        <f>$C11*Tariffs!$J$8</f>
        <v>90.218202497791239</v>
      </c>
      <c r="I11" s="67">
        <f t="shared" si="6"/>
        <v>118.10488690906473</v>
      </c>
      <c r="J11" s="67">
        <f>I11*Tariffs!$I$8</f>
        <v>20.668355209086325</v>
      </c>
      <c r="K11" s="81">
        <f t="shared" si="7"/>
        <v>138.77324211815105</v>
      </c>
      <c r="L11" s="81"/>
      <c r="M11" s="79"/>
      <c r="N11" s="67">
        <f t="shared" si="8"/>
        <v>27.886684411273485</v>
      </c>
      <c r="O11" s="80">
        <f t="shared" si="9"/>
        <v>27.886684411273485</v>
      </c>
      <c r="P11" s="67">
        <f>$C11*Tariffs!$J$8</f>
        <v>90.218202497791239</v>
      </c>
      <c r="Q11" s="67"/>
      <c r="R11" s="67">
        <f>$C11*Tariffs!K$18</f>
        <v>4.6996000000000002</v>
      </c>
      <c r="S11" s="67">
        <f>$C11*Tariffs!L$18</f>
        <v>9.7788000000000004</v>
      </c>
      <c r="T11" s="67">
        <f>$C11*Tariffs!M$18</f>
        <v>9.9290000000000003</v>
      </c>
      <c r="U11" s="67"/>
      <c r="V11" s="67">
        <f t="shared" si="10"/>
        <v>122.80448690906474</v>
      </c>
      <c r="W11" s="67">
        <f t="shared" si="10"/>
        <v>127.88368690906474</v>
      </c>
      <c r="X11" s="67">
        <f t="shared" si="10"/>
        <v>128.03388690906473</v>
      </c>
      <c r="Y11" s="67"/>
      <c r="Z11" s="67">
        <f>V11*(1+Tariffs!$I$8)</f>
        <v>144.29527211815108</v>
      </c>
      <c r="AA11" s="67">
        <f>W11*(1+Tariffs!$I$8)</f>
        <v>150.26333211815108</v>
      </c>
      <c r="AB11" s="67">
        <f>X11*(1+Tariffs!$I$8)</f>
        <v>150.43981711815107</v>
      </c>
      <c r="AC11" s="82"/>
      <c r="AD11" s="83">
        <f t="shared" si="0"/>
        <v>200</v>
      </c>
      <c r="AE11" s="67">
        <f t="shared" si="11"/>
        <v>5.5220300000000293</v>
      </c>
      <c r="AF11" s="67">
        <f t="shared" si="1"/>
        <v>11.490090000000038</v>
      </c>
      <c r="AG11" s="67">
        <f t="shared" si="1"/>
        <v>11.666575000000023</v>
      </c>
      <c r="AH11" s="80">
        <f t="shared" si="12"/>
        <v>28.67869500000009</v>
      </c>
      <c r="AI11" s="172">
        <f t="shared" si="2"/>
        <v>3.9791748868262422E-2</v>
      </c>
      <c r="AJ11" s="172">
        <f t="shared" si="3"/>
        <v>8.2797589972117391E-2</v>
      </c>
      <c r="AK11" s="172">
        <f t="shared" si="4"/>
        <v>8.406934090411422E-2</v>
      </c>
      <c r="AL11" s="180">
        <f t="shared" si="13"/>
        <v>0.20665867974449403</v>
      </c>
      <c r="AM11" s="66"/>
    </row>
    <row r="12" spans="2:39" x14ac:dyDescent="0.3">
      <c r="B12" s="66"/>
      <c r="C12" s="91">
        <v>250</v>
      </c>
      <c r="D12" s="92">
        <v>0.39859030837004406</v>
      </c>
      <c r="E12" s="93"/>
      <c r="F12" s="95">
        <f>IF($C12&gt;Tariffs!$E$21,(Tariffs!$F$19*Tariffs!$H$19)+(Tariffs!$F$20*Tariffs!$H$20)+(Tariffs!$F$21*Tariffs!$H$21)+(($C12-Tariffs!$E$21)*Tariffs!$H$22),IF(AND($C12&gt;Tariffs!$E$19,$C12&lt;=Tariffs!$E$20),(Tariffs!$F$19*Tariffs!$H$19)+(($C12-Tariffs!$E$19)*Tariffs!$H$20),IF(AND($C12&gt;Tariffs!$E$20,$C12&lt;=Tariffs!$E$21),(Tariffs!$F$19*Tariffs!$H$19)+(Tariffs!$F$20*Tariffs!$H$20)+(($C12-Tariffs!$E$20)*Tariffs!$H$21),$C12*Tariffs!$H$19)))</f>
        <v>35.760684411273488</v>
      </c>
      <c r="G12" s="94">
        <f t="shared" si="5"/>
        <v>35.760684411273488</v>
      </c>
      <c r="H12" s="95">
        <f>$C12*Tariffs!$J$8</f>
        <v>112.77275312223904</v>
      </c>
      <c r="I12" s="95">
        <f t="shared" si="6"/>
        <v>148.53343753351254</v>
      </c>
      <c r="J12" s="95">
        <f>I12*Tariffs!$I$8</f>
        <v>25.993351568364695</v>
      </c>
      <c r="K12" s="96">
        <f t="shared" si="7"/>
        <v>174.52678910187723</v>
      </c>
      <c r="L12" s="113"/>
      <c r="M12" s="93"/>
      <c r="N12" s="95">
        <f t="shared" si="8"/>
        <v>35.760684411273488</v>
      </c>
      <c r="O12" s="94">
        <f t="shared" si="9"/>
        <v>35.760684411273488</v>
      </c>
      <c r="P12" s="95">
        <f>$C12*Tariffs!$J$8</f>
        <v>112.77275312223904</v>
      </c>
      <c r="Q12" s="171"/>
      <c r="R12" s="95">
        <f>$C12*Tariffs!K$18</f>
        <v>5.8745000000000003</v>
      </c>
      <c r="S12" s="95">
        <f>$C12*Tariffs!L$18</f>
        <v>12.2235</v>
      </c>
      <c r="T12" s="95">
        <f>$C12*Tariffs!M$18</f>
        <v>12.411250000000001</v>
      </c>
      <c r="U12" s="171"/>
      <c r="V12" s="95">
        <f t="shared" si="10"/>
        <v>154.40793753351255</v>
      </c>
      <c r="W12" s="95">
        <f t="shared" si="10"/>
        <v>160.75693753351254</v>
      </c>
      <c r="X12" s="95">
        <f t="shared" si="10"/>
        <v>160.94468753351254</v>
      </c>
      <c r="Y12" s="67"/>
      <c r="Z12" s="95">
        <f>V12*(1+Tariffs!$I$8)</f>
        <v>181.42932660187725</v>
      </c>
      <c r="AA12" s="95">
        <f>W12*(1+Tariffs!$I$8)</f>
        <v>188.88940160187724</v>
      </c>
      <c r="AB12" s="95">
        <f>X12*(1+Tariffs!$I$8)</f>
        <v>189.11000785187724</v>
      </c>
      <c r="AC12" s="82"/>
      <c r="AD12" s="175">
        <f t="shared" si="0"/>
        <v>250</v>
      </c>
      <c r="AE12" s="95">
        <f t="shared" si="11"/>
        <v>6.9025375000000224</v>
      </c>
      <c r="AF12" s="95">
        <f t="shared" si="1"/>
        <v>14.362612500000012</v>
      </c>
      <c r="AG12" s="95">
        <f t="shared" si="1"/>
        <v>14.583218750000015</v>
      </c>
      <c r="AH12" s="94">
        <f t="shared" si="12"/>
        <v>35.848368750000049</v>
      </c>
      <c r="AI12" s="174">
        <f t="shared" si="2"/>
        <v>3.9550017137889304E-2</v>
      </c>
      <c r="AJ12" s="174">
        <f t="shared" si="3"/>
        <v>8.2294601154989877E-2</v>
      </c>
      <c r="AK12" s="174">
        <f t="shared" si="4"/>
        <v>8.3558626300557659E-2</v>
      </c>
      <c r="AL12" s="182">
        <f t="shared" si="13"/>
        <v>0.20540324459343684</v>
      </c>
      <c r="AM12" s="66"/>
    </row>
    <row r="13" spans="2:39" x14ac:dyDescent="0.3">
      <c r="B13" s="66"/>
      <c r="C13" s="77">
        <v>300</v>
      </c>
      <c r="D13" s="78">
        <v>0.52792951541850219</v>
      </c>
      <c r="E13" s="79"/>
      <c r="F13" s="67">
        <f>IF($C13&gt;Tariffs!$E$21,(Tariffs!$F$19*Tariffs!$H$19)+(Tariffs!$F$20*Tariffs!$H$20)+(Tariffs!$F$21*Tariffs!$H$21)+(($C13-Tariffs!$E$21)*Tariffs!$H$22),IF(AND($C13&gt;Tariffs!$E$19,$C13&lt;=Tariffs!$E$20),(Tariffs!$F$19*Tariffs!$H$19)+(($C13-Tariffs!$E$19)*Tariffs!$H$20),IF(AND($C13&gt;Tariffs!$E$20,$C13&lt;=Tariffs!$E$21),(Tariffs!$F$19*Tariffs!$H$19)+(Tariffs!$F$20*Tariffs!$H$20)+(($C13-Tariffs!$E$20)*Tariffs!$H$21),$C13*Tariffs!$H$19)))</f>
        <v>43.634684411273483</v>
      </c>
      <c r="G13" s="80">
        <f t="shared" si="5"/>
        <v>43.634684411273483</v>
      </c>
      <c r="H13" s="67">
        <f>$C13*Tariffs!$J$8</f>
        <v>135.32730374668685</v>
      </c>
      <c r="I13" s="67">
        <f t="shared" si="6"/>
        <v>178.96198815796032</v>
      </c>
      <c r="J13" s="67">
        <f>I13*Tariffs!$I$8</f>
        <v>31.318347927643053</v>
      </c>
      <c r="K13" s="81">
        <f t="shared" si="7"/>
        <v>210.28033608560338</v>
      </c>
      <c r="L13" s="81"/>
      <c r="M13" s="79"/>
      <c r="N13" s="67">
        <f t="shared" si="8"/>
        <v>43.634684411273483</v>
      </c>
      <c r="O13" s="80">
        <f t="shared" si="9"/>
        <v>43.634684411273483</v>
      </c>
      <c r="P13" s="67">
        <f>$C13*Tariffs!$J$8</f>
        <v>135.32730374668685</v>
      </c>
      <c r="Q13" s="67"/>
      <c r="R13" s="67">
        <f>$C13*Tariffs!K$18</f>
        <v>7.0494000000000003</v>
      </c>
      <c r="S13" s="67">
        <f>$C13*Tariffs!L$18</f>
        <v>14.668200000000001</v>
      </c>
      <c r="T13" s="67">
        <f>$C13*Tariffs!M$18</f>
        <v>14.893500000000001</v>
      </c>
      <c r="U13" s="67"/>
      <c r="V13" s="67">
        <f t="shared" si="10"/>
        <v>186.01138815796031</v>
      </c>
      <c r="W13" s="67">
        <f t="shared" si="10"/>
        <v>193.63018815796033</v>
      </c>
      <c r="X13" s="67">
        <f t="shared" si="10"/>
        <v>193.85548815796031</v>
      </c>
      <c r="Y13" s="67"/>
      <c r="Z13" s="67">
        <f>V13*(1+Tariffs!$I$8)</f>
        <v>218.56338108560337</v>
      </c>
      <c r="AA13" s="67">
        <f>W13*(1+Tariffs!$I$8)</f>
        <v>227.51547108560339</v>
      </c>
      <c r="AB13" s="67">
        <f>X13*(1+Tariffs!$I$8)</f>
        <v>227.78019858560336</v>
      </c>
      <c r="AC13" s="82"/>
      <c r="AD13" s="83">
        <f t="shared" si="0"/>
        <v>300</v>
      </c>
      <c r="AE13" s="67">
        <f t="shared" si="11"/>
        <v>8.2830449999999871</v>
      </c>
      <c r="AF13" s="67">
        <f t="shared" si="1"/>
        <v>17.235135000000014</v>
      </c>
      <c r="AG13" s="67">
        <f t="shared" si="1"/>
        <v>17.499862499999978</v>
      </c>
      <c r="AH13" s="80">
        <f t="shared" si="12"/>
        <v>43.018042499999979</v>
      </c>
      <c r="AI13" s="172">
        <f t="shared" si="2"/>
        <v>3.9390487737417379E-2</v>
      </c>
      <c r="AJ13" s="172">
        <f t="shared" si="3"/>
        <v>8.1962656712626369E-2</v>
      </c>
      <c r="AK13" s="172">
        <f t="shared" si="4"/>
        <v>8.3221583271941846E-2</v>
      </c>
      <c r="AL13" s="180">
        <f t="shared" si="13"/>
        <v>0.20457472772198559</v>
      </c>
      <c r="AM13" s="66"/>
    </row>
    <row r="14" spans="2:39" x14ac:dyDescent="0.3">
      <c r="B14" s="66"/>
      <c r="C14" s="91">
        <v>350</v>
      </c>
      <c r="D14" s="92">
        <v>0.63753303964757713</v>
      </c>
      <c r="E14" s="93"/>
      <c r="F14" s="95">
        <f>IF($C14&gt;Tariffs!$E$21,(Tariffs!$F$19*Tariffs!$H$19)+(Tariffs!$F$20*Tariffs!$H$20)+(Tariffs!$F$21*Tariffs!$H$21)+(($C14-Tariffs!$E$21)*Tariffs!$H$22),IF(AND($C14&gt;Tariffs!$E$19,$C14&lt;=Tariffs!$E$20),(Tariffs!$F$19*Tariffs!$H$19)+(($C14-Tariffs!$E$19)*Tariffs!$H$20),IF(AND($C14&gt;Tariffs!$E$20,$C14&lt;=Tariffs!$E$21),(Tariffs!$F$19*Tariffs!$H$19)+(Tariffs!$F$20*Tariffs!$H$20)+(($C14-Tariffs!$E$20)*Tariffs!$H$21),$C14*Tariffs!$H$19)))</f>
        <v>51.508684411273492</v>
      </c>
      <c r="G14" s="94">
        <f t="shared" si="5"/>
        <v>51.508684411273492</v>
      </c>
      <c r="H14" s="95">
        <f>$C14*Tariffs!$J$8</f>
        <v>157.88185437113466</v>
      </c>
      <c r="I14" s="95">
        <f t="shared" si="6"/>
        <v>209.39053878240816</v>
      </c>
      <c r="J14" s="95">
        <f>I14*Tariffs!$I$8</f>
        <v>36.643344286921426</v>
      </c>
      <c r="K14" s="96">
        <f t="shared" si="7"/>
        <v>246.03388306932959</v>
      </c>
      <c r="L14" s="113"/>
      <c r="M14" s="93"/>
      <c r="N14" s="95">
        <f t="shared" si="8"/>
        <v>51.508684411273492</v>
      </c>
      <c r="O14" s="94">
        <f t="shared" si="9"/>
        <v>51.508684411273492</v>
      </c>
      <c r="P14" s="95">
        <f>$C14*Tariffs!$J$8</f>
        <v>157.88185437113466</v>
      </c>
      <c r="Q14" s="171"/>
      <c r="R14" s="95">
        <f>$C14*Tariffs!K$18</f>
        <v>8.2243000000000013</v>
      </c>
      <c r="S14" s="95">
        <f>$C14*Tariffs!L$18</f>
        <v>17.1129</v>
      </c>
      <c r="T14" s="95">
        <f>$C14*Tariffs!M$18</f>
        <v>17.37575</v>
      </c>
      <c r="U14" s="171"/>
      <c r="V14" s="95">
        <f t="shared" si="10"/>
        <v>217.61483878240816</v>
      </c>
      <c r="W14" s="95">
        <f t="shared" si="10"/>
        <v>226.50343878240815</v>
      </c>
      <c r="X14" s="95">
        <f t="shared" si="10"/>
        <v>226.76628878240817</v>
      </c>
      <c r="Y14" s="171"/>
      <c r="Z14" s="95">
        <f>V14*(1+Tariffs!$I$8)</f>
        <v>255.6974355693296</v>
      </c>
      <c r="AA14" s="95">
        <f>W14*(1+Tariffs!$I$8)</f>
        <v>266.14154056932961</v>
      </c>
      <c r="AB14" s="95">
        <f>X14*(1+Tariffs!$I$8)</f>
        <v>266.45038931932959</v>
      </c>
      <c r="AC14" s="186"/>
      <c r="AD14" s="187">
        <f t="shared" si="0"/>
        <v>350</v>
      </c>
      <c r="AE14" s="95">
        <f t="shared" si="11"/>
        <v>9.6635525000000086</v>
      </c>
      <c r="AF14" s="95">
        <f t="shared" si="1"/>
        <v>20.107657500000016</v>
      </c>
      <c r="AG14" s="95">
        <f t="shared" si="1"/>
        <v>20.416506249999998</v>
      </c>
      <c r="AH14" s="94">
        <f t="shared" si="12"/>
        <v>50.187716250000022</v>
      </c>
      <c r="AI14" s="174">
        <f t="shared" si="2"/>
        <v>3.9277323836233169E-2</v>
      </c>
      <c r="AJ14" s="174">
        <f t="shared" si="3"/>
        <v>8.1727188341509382E-2</v>
      </c>
      <c r="AK14" s="174">
        <f t="shared" si="4"/>
        <v>8.2982498163664875E-2</v>
      </c>
      <c r="AL14" s="182">
        <f t="shared" si="13"/>
        <v>0.20398701034140743</v>
      </c>
      <c r="AM14" s="66"/>
    </row>
    <row r="15" spans="2:39" x14ac:dyDescent="0.3">
      <c r="B15" s="66"/>
      <c r="C15" s="77">
        <v>400</v>
      </c>
      <c r="D15" s="78">
        <v>0.7222907488986785</v>
      </c>
      <c r="E15" s="79"/>
      <c r="F15" s="67">
        <f>IF($C15&gt;Tariffs!$E$21,(Tariffs!$F$19*Tariffs!$H$19)+(Tariffs!$F$20*Tariffs!$H$20)+(Tariffs!$F$21*Tariffs!$H$21)+(($C15-Tariffs!$E$21)*Tariffs!$H$22),IF(AND($C15&gt;Tariffs!$E$19,$C15&lt;=Tariffs!$E$20),(Tariffs!$F$19*Tariffs!$H$19)+(($C15-Tariffs!$E$19)*Tariffs!$H$20),IF(AND($C15&gt;Tariffs!$E$20,$C15&lt;=Tariffs!$E$21),(Tariffs!$F$19*Tariffs!$H$19)+(Tariffs!$F$20*Tariffs!$H$20)+(($C15-Tariffs!$E$20)*Tariffs!$H$21),$C15*Tariffs!$H$19)))</f>
        <v>59.382684411273488</v>
      </c>
      <c r="G15" s="80">
        <f t="shared" si="5"/>
        <v>59.382684411273488</v>
      </c>
      <c r="H15" s="67">
        <f>$C15*Tariffs!$J$8</f>
        <v>180.43640499558248</v>
      </c>
      <c r="I15" s="67">
        <f t="shared" si="6"/>
        <v>239.81908940685597</v>
      </c>
      <c r="J15" s="67">
        <f>I15*Tariffs!$I$8</f>
        <v>41.968340646199792</v>
      </c>
      <c r="K15" s="81">
        <f t="shared" si="7"/>
        <v>281.78743005305574</v>
      </c>
      <c r="L15" s="81"/>
      <c r="M15" s="79"/>
      <c r="N15" s="67">
        <f t="shared" si="8"/>
        <v>59.382684411273488</v>
      </c>
      <c r="O15" s="80">
        <f t="shared" si="9"/>
        <v>59.382684411273488</v>
      </c>
      <c r="P15" s="67">
        <f>$C15*Tariffs!$J$8</f>
        <v>180.43640499558248</v>
      </c>
      <c r="Q15" s="67"/>
      <c r="R15" s="67">
        <f>$C15*Tariffs!K$18</f>
        <v>9.3992000000000004</v>
      </c>
      <c r="S15" s="67">
        <f>$C15*Tariffs!L$18</f>
        <v>19.557600000000001</v>
      </c>
      <c r="T15" s="67">
        <f>$C15*Tariffs!M$18</f>
        <v>19.858000000000001</v>
      </c>
      <c r="U15" s="67"/>
      <c r="V15" s="67">
        <f t="shared" si="10"/>
        <v>249.21828940685597</v>
      </c>
      <c r="W15" s="67">
        <f t="shared" si="10"/>
        <v>259.37668940685597</v>
      </c>
      <c r="X15" s="67">
        <f t="shared" si="10"/>
        <v>259.67708940685594</v>
      </c>
      <c r="Y15" s="67"/>
      <c r="Z15" s="67">
        <f>V15*(1+Tariffs!$I$8)</f>
        <v>292.8314900530558</v>
      </c>
      <c r="AA15" s="67">
        <f>W15*(1+Tariffs!$I$8)</f>
        <v>304.76761005305576</v>
      </c>
      <c r="AB15" s="67">
        <f>X15*(1+Tariffs!$I$8)</f>
        <v>305.12058005305573</v>
      </c>
      <c r="AC15" s="82"/>
      <c r="AD15" s="83">
        <f t="shared" si="0"/>
        <v>400</v>
      </c>
      <c r="AE15" s="67">
        <f t="shared" si="11"/>
        <v>11.044060000000059</v>
      </c>
      <c r="AF15" s="67">
        <f t="shared" si="1"/>
        <v>22.980180000000018</v>
      </c>
      <c r="AG15" s="67">
        <f t="shared" si="1"/>
        <v>23.333149999999989</v>
      </c>
      <c r="AH15" s="80">
        <f t="shared" si="12"/>
        <v>57.357390000000066</v>
      </c>
      <c r="AI15" s="172">
        <f t="shared" si="2"/>
        <v>3.9192876694040812E-2</v>
      </c>
      <c r="AJ15" s="172">
        <f t="shared" si="3"/>
        <v>8.1551473022317689E-2</v>
      </c>
      <c r="AK15" s="172">
        <f t="shared" si="4"/>
        <v>8.2804083899721048E-2</v>
      </c>
      <c r="AL15" s="180">
        <f t="shared" si="13"/>
        <v>0.20354843361607955</v>
      </c>
      <c r="AM15" s="66"/>
    </row>
    <row r="16" spans="2:39" x14ac:dyDescent="0.3">
      <c r="B16" s="66"/>
      <c r="C16" s="84">
        <v>450</v>
      </c>
      <c r="D16" s="85">
        <v>0.7906607929515419</v>
      </c>
      <c r="E16" s="86"/>
      <c r="F16" s="88">
        <f>IF($C16&gt;Tariffs!$E$21,(Tariffs!$F$19*Tariffs!$H$19)+(Tariffs!$F$20*Tariffs!$H$20)+(Tariffs!$F$21*Tariffs!$H$21)+(($C16-Tariffs!$E$21)*Tariffs!$H$22),IF(AND($C16&gt;Tariffs!$E$19,$C16&lt;=Tariffs!$E$20),(Tariffs!$F$19*Tariffs!$H$19)+(($C16-Tariffs!$E$19)*Tariffs!$H$20),IF(AND($C16&gt;Tariffs!$E$20,$C16&lt;=Tariffs!$E$21),(Tariffs!$F$19*Tariffs!$H$19)+(Tariffs!$F$20*Tariffs!$H$20)+(($C16-Tariffs!$E$20)*Tariffs!$H$21),$C16*Tariffs!$H$19)))</f>
        <v>67.256684411273483</v>
      </c>
      <c r="G16" s="87">
        <f t="shared" si="5"/>
        <v>67.256684411273483</v>
      </c>
      <c r="H16" s="88">
        <f>$C16*Tariffs!$J$8</f>
        <v>202.99095562003026</v>
      </c>
      <c r="I16" s="88">
        <f t="shared" si="6"/>
        <v>270.24764003130372</v>
      </c>
      <c r="J16" s="88">
        <f>I16*Tariffs!$I$8</f>
        <v>47.293337005478151</v>
      </c>
      <c r="K16" s="89">
        <f t="shared" si="7"/>
        <v>317.5409770367819</v>
      </c>
      <c r="L16" s="81"/>
      <c r="M16" s="86"/>
      <c r="N16" s="88">
        <f t="shared" si="8"/>
        <v>67.256684411273483</v>
      </c>
      <c r="O16" s="87">
        <f t="shared" si="9"/>
        <v>67.256684411273483</v>
      </c>
      <c r="P16" s="88">
        <f>$C16*Tariffs!$J$8</f>
        <v>202.99095562003026</v>
      </c>
      <c r="Q16" s="67"/>
      <c r="R16" s="88">
        <f>$C16*Tariffs!K$18</f>
        <v>10.574100000000001</v>
      </c>
      <c r="S16" s="88">
        <f>$C16*Tariffs!L$18</f>
        <v>22.002300000000002</v>
      </c>
      <c r="T16" s="88">
        <f>$C16*Tariffs!M$18</f>
        <v>22.340250000000001</v>
      </c>
      <c r="U16" s="67"/>
      <c r="V16" s="88">
        <f t="shared" si="10"/>
        <v>280.8217400313037</v>
      </c>
      <c r="W16" s="88">
        <f t="shared" si="10"/>
        <v>292.24994003130371</v>
      </c>
      <c r="X16" s="88">
        <f t="shared" si="10"/>
        <v>292.58789003130374</v>
      </c>
      <c r="Y16" s="67"/>
      <c r="Z16" s="88">
        <f>V16*(1+Tariffs!$I$8)</f>
        <v>329.96554453678186</v>
      </c>
      <c r="AA16" s="88">
        <f>W16*(1+Tariffs!$I$8)</f>
        <v>343.39367953678186</v>
      </c>
      <c r="AB16" s="88">
        <f>X16*(1+Tariffs!$I$8)</f>
        <v>343.79077078678193</v>
      </c>
      <c r="AC16" s="82"/>
      <c r="AD16" s="90">
        <f t="shared" si="0"/>
        <v>450</v>
      </c>
      <c r="AE16" s="88">
        <f t="shared" si="11"/>
        <v>12.424567499999966</v>
      </c>
      <c r="AF16" s="88">
        <f t="shared" si="1"/>
        <v>25.852702499999964</v>
      </c>
      <c r="AG16" s="88">
        <f t="shared" si="1"/>
        <v>26.249793750000038</v>
      </c>
      <c r="AH16" s="87">
        <f t="shared" si="12"/>
        <v>64.527063749999968</v>
      </c>
      <c r="AI16" s="173">
        <f t="shared" si="2"/>
        <v>3.9127446214794359E-2</v>
      </c>
      <c r="AJ16" s="173">
        <f t="shared" si="3"/>
        <v>8.1415327058735443E-2</v>
      </c>
      <c r="AK16" s="173">
        <f t="shared" si="4"/>
        <v>8.2665846767106865E-2</v>
      </c>
      <c r="AL16" s="181">
        <f t="shared" si="13"/>
        <v>0.20320862004063667</v>
      </c>
      <c r="AM16" s="66"/>
    </row>
    <row r="17" spans="2:39" x14ac:dyDescent="0.3">
      <c r="B17" s="66"/>
      <c r="C17" s="77">
        <v>500</v>
      </c>
      <c r="D17" s="78">
        <v>0.84052863436123348</v>
      </c>
      <c r="E17" s="79"/>
      <c r="F17" s="67">
        <f>IF($C17&gt;Tariffs!$E$21,(Tariffs!$F$19*Tariffs!$H$19)+(Tariffs!$F$20*Tariffs!$H$20)+(Tariffs!$F$21*Tariffs!$H$21)+(($C17-Tariffs!$E$21)*Tariffs!$H$22),IF(AND($C17&gt;Tariffs!$E$19,$C17&lt;=Tariffs!$E$20),(Tariffs!$F$19*Tariffs!$H$19)+(($C17-Tariffs!$E$19)*Tariffs!$H$20),IF(AND($C17&gt;Tariffs!$E$20,$C17&lt;=Tariffs!$E$21),(Tariffs!$F$19*Tariffs!$H$19)+(Tariffs!$F$20*Tariffs!$H$20)+(($C17-Tariffs!$E$20)*Tariffs!$H$21),$C17*Tariffs!$H$19)))</f>
        <v>75.130684411273492</v>
      </c>
      <c r="G17" s="80">
        <f t="shared" si="5"/>
        <v>75.130684411273492</v>
      </c>
      <c r="H17" s="67">
        <f>$C17*Tariffs!$J$8</f>
        <v>225.54550624447808</v>
      </c>
      <c r="I17" s="67">
        <f t="shared" si="6"/>
        <v>300.67619065575155</v>
      </c>
      <c r="J17" s="67">
        <f>I17*Tariffs!$I$8</f>
        <v>52.618333364756516</v>
      </c>
      <c r="K17" s="81">
        <f t="shared" si="7"/>
        <v>353.29452402050805</v>
      </c>
      <c r="L17" s="81"/>
      <c r="M17" s="79"/>
      <c r="N17" s="67">
        <f t="shared" si="8"/>
        <v>75.130684411273492</v>
      </c>
      <c r="O17" s="80">
        <f t="shared" si="9"/>
        <v>75.130684411273492</v>
      </c>
      <c r="P17" s="67">
        <f>$C17*Tariffs!$J$8</f>
        <v>225.54550624447808</v>
      </c>
      <c r="Q17" s="67"/>
      <c r="R17" s="67">
        <f>$C17*Tariffs!K$18</f>
        <v>11.749000000000001</v>
      </c>
      <c r="S17" s="67">
        <f>$C17*Tariffs!L$18</f>
        <v>24.446999999999999</v>
      </c>
      <c r="T17" s="67">
        <f>$C17*Tariffs!M$18</f>
        <v>24.822500000000002</v>
      </c>
      <c r="U17" s="67"/>
      <c r="V17" s="67">
        <f t="shared" si="10"/>
        <v>312.42519065575158</v>
      </c>
      <c r="W17" s="67">
        <f t="shared" si="10"/>
        <v>325.12319065575156</v>
      </c>
      <c r="X17" s="67">
        <f t="shared" si="10"/>
        <v>325.49869065575155</v>
      </c>
      <c r="Y17" s="67"/>
      <c r="Z17" s="67">
        <f>V17*(1+Tariffs!$I$8)</f>
        <v>367.09959902050809</v>
      </c>
      <c r="AA17" s="67">
        <f>W17*(1+Tariffs!$I$8)</f>
        <v>382.01974902050807</v>
      </c>
      <c r="AB17" s="67">
        <f>X17*(1+Tariffs!$I$8)</f>
        <v>382.46096152050808</v>
      </c>
      <c r="AC17" s="82"/>
      <c r="AD17" s="83">
        <f t="shared" si="0"/>
        <v>500</v>
      </c>
      <c r="AE17" s="67">
        <f t="shared" si="11"/>
        <v>13.805075000000045</v>
      </c>
      <c r="AF17" s="67">
        <f t="shared" si="1"/>
        <v>28.725225000000023</v>
      </c>
      <c r="AG17" s="67">
        <f t="shared" si="1"/>
        <v>29.166437500000029</v>
      </c>
      <c r="AH17" s="80">
        <f t="shared" si="12"/>
        <v>71.696737500000097</v>
      </c>
      <c r="AI17" s="172">
        <f t="shared" si="2"/>
        <v>3.9075258916831279E-2</v>
      </c>
      <c r="AJ17" s="172">
        <f t="shared" si="3"/>
        <v>8.1306737146972008E-2</v>
      </c>
      <c r="AK17" s="172">
        <f t="shared" si="4"/>
        <v>8.2555588940594449E-2</v>
      </c>
      <c r="AL17" s="180">
        <f t="shared" si="13"/>
        <v>0.20293758500439774</v>
      </c>
      <c r="AM17" s="66"/>
    </row>
    <row r="18" spans="2:39" x14ac:dyDescent="0.3">
      <c r="B18" s="66"/>
      <c r="C18" s="84">
        <v>600</v>
      </c>
      <c r="D18" s="85">
        <v>0.91224669603524233</v>
      </c>
      <c r="E18" s="86"/>
      <c r="F18" s="88">
        <f>IF($C18&gt;Tariffs!$E$21,(Tariffs!$F$19*Tariffs!$H$19)+(Tariffs!$F$20*Tariffs!$H$20)+(Tariffs!$F$21*Tariffs!$H$21)+(($C18-Tariffs!$E$21)*Tariffs!$H$22),IF(AND($C18&gt;Tariffs!$E$19,$C18&lt;=Tariffs!$E$20),(Tariffs!$F$19*Tariffs!$H$19)+(($C18-Tariffs!$E$19)*Tariffs!$H$20),IF(AND($C18&gt;Tariffs!$E$20,$C18&lt;=Tariffs!$E$21),(Tariffs!$F$19*Tariffs!$H$19)+(Tariffs!$F$20*Tariffs!$H$20)+(($C18-Tariffs!$E$20)*Tariffs!$H$21),$C18*Tariffs!$H$19)))</f>
        <v>97.810684411273485</v>
      </c>
      <c r="G18" s="87">
        <f t="shared" si="5"/>
        <v>97.810684411273485</v>
      </c>
      <c r="H18" s="88">
        <f>$C18*Tariffs!$J$8</f>
        <v>270.6546074933737</v>
      </c>
      <c r="I18" s="88">
        <f t="shared" si="6"/>
        <v>368.46529190464719</v>
      </c>
      <c r="J18" s="88">
        <f>I18*Tariffs!$I$8</f>
        <v>64.481426083313252</v>
      </c>
      <c r="K18" s="89">
        <f t="shared" si="7"/>
        <v>432.94671798796043</v>
      </c>
      <c r="L18" s="81"/>
      <c r="M18" s="86"/>
      <c r="N18" s="88">
        <f t="shared" si="8"/>
        <v>97.810684411273485</v>
      </c>
      <c r="O18" s="87">
        <f t="shared" si="9"/>
        <v>97.810684411273485</v>
      </c>
      <c r="P18" s="88">
        <f>$C18*Tariffs!$J$8</f>
        <v>270.6546074933737</v>
      </c>
      <c r="Q18" s="67"/>
      <c r="R18" s="88">
        <f>$C18*Tariffs!K$18</f>
        <v>14.098800000000001</v>
      </c>
      <c r="S18" s="88">
        <f>$C18*Tariffs!L$18</f>
        <v>29.336400000000001</v>
      </c>
      <c r="T18" s="88">
        <f>$C18*Tariffs!M$18</f>
        <v>29.787000000000003</v>
      </c>
      <c r="U18" s="67"/>
      <c r="V18" s="88">
        <f t="shared" si="10"/>
        <v>382.56409190464717</v>
      </c>
      <c r="W18" s="88">
        <f t="shared" si="10"/>
        <v>397.80169190464721</v>
      </c>
      <c r="X18" s="88">
        <f t="shared" si="10"/>
        <v>398.25229190464717</v>
      </c>
      <c r="Y18" s="67"/>
      <c r="Z18" s="88">
        <f>V18*(1+Tariffs!$I$8)</f>
        <v>449.51280798796046</v>
      </c>
      <c r="AA18" s="88">
        <f>W18*(1+Tariffs!$I$8)</f>
        <v>467.41698798796051</v>
      </c>
      <c r="AB18" s="88">
        <f>X18*(1+Tariffs!$I$8)</f>
        <v>467.94644298796044</v>
      </c>
      <c r="AC18" s="82"/>
      <c r="AD18" s="90">
        <f t="shared" si="0"/>
        <v>600</v>
      </c>
      <c r="AE18" s="88">
        <f t="shared" si="11"/>
        <v>16.566090000000031</v>
      </c>
      <c r="AF18" s="88">
        <f t="shared" si="1"/>
        <v>34.470270000000085</v>
      </c>
      <c r="AG18" s="88">
        <f t="shared" si="1"/>
        <v>34.999725000000012</v>
      </c>
      <c r="AH18" s="87">
        <f t="shared" si="12"/>
        <v>86.036085000000128</v>
      </c>
      <c r="AI18" s="173">
        <f t="shared" si="2"/>
        <v>3.8263576813765576E-2</v>
      </c>
      <c r="AJ18" s="173">
        <f t="shared" si="3"/>
        <v>7.9617811078911194E-2</v>
      </c>
      <c r="AK18" s="173">
        <f t="shared" si="4"/>
        <v>8.0840721377112512E-2</v>
      </c>
      <c r="AL18" s="181">
        <f t="shared" si="13"/>
        <v>0.19872210926978928</v>
      </c>
      <c r="AM18" s="66"/>
    </row>
    <row r="19" spans="2:39" x14ac:dyDescent="0.3">
      <c r="B19" s="66"/>
      <c r="C19" s="77">
        <v>700</v>
      </c>
      <c r="D19" s="78">
        <v>0.94678414096916308</v>
      </c>
      <c r="E19" s="79"/>
      <c r="F19" s="67">
        <f>IF($C19&gt;Tariffs!$E$21,(Tariffs!$F$19*Tariffs!$H$19)+(Tariffs!$F$20*Tariffs!$H$20)+(Tariffs!$F$21*Tariffs!$H$21)+(($C19-Tariffs!$E$21)*Tariffs!$H$22),IF(AND($C19&gt;Tariffs!$E$19,$C19&lt;=Tariffs!$E$20),(Tariffs!$F$19*Tariffs!$H$19)+(($C19-Tariffs!$E$19)*Tariffs!$H$20),IF(AND($C19&gt;Tariffs!$E$20,$C19&lt;=Tariffs!$E$21),(Tariffs!$F$19*Tariffs!$H$19)+(Tariffs!$F$20*Tariffs!$H$20)+(($C19-Tariffs!$E$20)*Tariffs!$H$21),$C19*Tariffs!$H$19)))</f>
        <v>120.49068441127349</v>
      </c>
      <c r="G19" s="80">
        <f t="shared" si="5"/>
        <v>120.49068441127349</v>
      </c>
      <c r="H19" s="67">
        <f>$C19*Tariffs!$J$8</f>
        <v>315.76370874226933</v>
      </c>
      <c r="I19" s="67">
        <f t="shared" si="6"/>
        <v>436.25439315354282</v>
      </c>
      <c r="J19" s="67">
        <f>I19*Tariffs!$I$8</f>
        <v>76.344518801869995</v>
      </c>
      <c r="K19" s="81">
        <f t="shared" si="7"/>
        <v>512.59891195541286</v>
      </c>
      <c r="L19" s="81"/>
      <c r="M19" s="79"/>
      <c r="N19" s="67">
        <f t="shared" si="8"/>
        <v>120.49068441127349</v>
      </c>
      <c r="O19" s="80">
        <f t="shared" si="9"/>
        <v>120.49068441127349</v>
      </c>
      <c r="P19" s="67">
        <f>$C19*Tariffs!$J$8</f>
        <v>315.76370874226933</v>
      </c>
      <c r="Q19" s="67"/>
      <c r="R19" s="67">
        <f>$C19*Tariffs!K$18</f>
        <v>16.448600000000003</v>
      </c>
      <c r="S19" s="67">
        <f>$C19*Tariffs!L$18</f>
        <v>34.2258</v>
      </c>
      <c r="T19" s="67">
        <f>$C19*Tariffs!M$18</f>
        <v>34.7515</v>
      </c>
      <c r="U19" s="67"/>
      <c r="V19" s="67">
        <f t="shared" si="10"/>
        <v>452.70299315354282</v>
      </c>
      <c r="W19" s="67">
        <f t="shared" si="10"/>
        <v>470.48019315354281</v>
      </c>
      <c r="X19" s="67">
        <f t="shared" si="10"/>
        <v>471.00589315354284</v>
      </c>
      <c r="Y19" s="67"/>
      <c r="Z19" s="67">
        <f>V19*(1+Tariffs!$I$8)</f>
        <v>531.92601695541282</v>
      </c>
      <c r="AA19" s="67">
        <f>W19*(1+Tariffs!$I$8)</f>
        <v>552.81422695541278</v>
      </c>
      <c r="AB19" s="67">
        <f>X19*(1+Tariffs!$I$8)</f>
        <v>553.43192445541285</v>
      </c>
      <c r="AC19" s="82"/>
      <c r="AD19" s="83">
        <f t="shared" si="0"/>
        <v>700</v>
      </c>
      <c r="AE19" s="67">
        <f t="shared" si="11"/>
        <v>19.32710499999996</v>
      </c>
      <c r="AF19" s="67">
        <f t="shared" si="1"/>
        <v>40.215314999999919</v>
      </c>
      <c r="AG19" s="67">
        <f t="shared" si="1"/>
        <v>40.833012499999995</v>
      </c>
      <c r="AH19" s="80">
        <f t="shared" si="12"/>
        <v>100.37543249999987</v>
      </c>
      <c r="AI19" s="172">
        <f t="shared" si="2"/>
        <v>3.7704147529835419E-2</v>
      </c>
      <c r="AJ19" s="172">
        <f t="shared" si="3"/>
        <v>7.8453765823634836E-2</v>
      </c>
      <c r="AK19" s="172">
        <f t="shared" si="4"/>
        <v>7.9658796668596432E-2</v>
      </c>
      <c r="AL19" s="180">
        <f t="shared" si="13"/>
        <v>0.19581671002206669</v>
      </c>
      <c r="AM19" s="66"/>
    </row>
    <row r="20" spans="2:39" x14ac:dyDescent="0.3">
      <c r="B20" s="66"/>
      <c r="C20" s="84">
        <v>800</v>
      </c>
      <c r="D20" s="85">
        <v>0.96722466960352427</v>
      </c>
      <c r="E20" s="86"/>
      <c r="F20" s="88">
        <f>IF($C20&gt;Tariffs!$E$21,(Tariffs!$F$19*Tariffs!$H$19)+(Tariffs!$F$20*Tariffs!$H$20)+(Tariffs!$F$21*Tariffs!$H$21)+(($C20-Tariffs!$E$21)*Tariffs!$H$22),IF(AND($C20&gt;Tariffs!$E$19,$C20&lt;=Tariffs!$E$20),(Tariffs!$F$19*Tariffs!$H$19)+(($C20-Tariffs!$E$19)*Tariffs!$H$20),IF(AND($C20&gt;Tariffs!$E$20,$C20&lt;=Tariffs!$E$21),(Tariffs!$F$19*Tariffs!$H$19)+(Tariffs!$F$20*Tariffs!$H$20)+(($C20-Tariffs!$E$20)*Tariffs!$H$21),$C20*Tariffs!$H$19)))</f>
        <v>143.1706844112735</v>
      </c>
      <c r="G20" s="87">
        <f t="shared" si="5"/>
        <v>143.1706844112735</v>
      </c>
      <c r="H20" s="88">
        <f>$C20*Tariffs!$J$8</f>
        <v>360.87280999116496</v>
      </c>
      <c r="I20" s="88">
        <f t="shared" si="6"/>
        <v>504.04349440243845</v>
      </c>
      <c r="J20" s="88">
        <f>I20*Tariffs!$I$8</f>
        <v>88.207611520426724</v>
      </c>
      <c r="K20" s="89">
        <f t="shared" si="7"/>
        <v>592.25110592286524</v>
      </c>
      <c r="L20" s="81"/>
      <c r="M20" s="86"/>
      <c r="N20" s="88">
        <f t="shared" si="8"/>
        <v>143.1706844112735</v>
      </c>
      <c r="O20" s="87">
        <f t="shared" si="9"/>
        <v>143.1706844112735</v>
      </c>
      <c r="P20" s="88">
        <f>$C20*Tariffs!$J$8</f>
        <v>360.87280999116496</v>
      </c>
      <c r="Q20" s="67"/>
      <c r="R20" s="88">
        <f>$C20*Tariffs!K$18</f>
        <v>18.798400000000001</v>
      </c>
      <c r="S20" s="88">
        <f>$C20*Tariffs!L$18</f>
        <v>39.115200000000002</v>
      </c>
      <c r="T20" s="88">
        <f>$C20*Tariffs!M$18</f>
        <v>39.716000000000001</v>
      </c>
      <c r="U20" s="67"/>
      <c r="V20" s="88">
        <f t="shared" si="10"/>
        <v>522.84189440243847</v>
      </c>
      <c r="W20" s="88">
        <f t="shared" si="10"/>
        <v>543.15869440243841</v>
      </c>
      <c r="X20" s="88">
        <f t="shared" si="10"/>
        <v>543.75949440243846</v>
      </c>
      <c r="Y20" s="67"/>
      <c r="Z20" s="88">
        <f>V20*(1+Tariffs!$I$8)</f>
        <v>614.33922592286524</v>
      </c>
      <c r="AA20" s="88">
        <f>W20*(1+Tariffs!$I$8)</f>
        <v>638.21146592286516</v>
      </c>
      <c r="AB20" s="88">
        <f>X20*(1+Tariffs!$I$8)</f>
        <v>638.91740592286521</v>
      </c>
      <c r="AC20" s="82"/>
      <c r="AD20" s="90">
        <f t="shared" si="0"/>
        <v>800</v>
      </c>
      <c r="AE20" s="88">
        <f t="shared" si="11"/>
        <v>22.088120000000004</v>
      </c>
      <c r="AF20" s="88">
        <f t="shared" si="1"/>
        <v>45.960359999999923</v>
      </c>
      <c r="AG20" s="88">
        <f t="shared" si="1"/>
        <v>46.666299999999978</v>
      </c>
      <c r="AH20" s="87">
        <f t="shared" si="12"/>
        <v>114.71477999999991</v>
      </c>
      <c r="AI20" s="173">
        <f t="shared" si="2"/>
        <v>3.7295194182173086E-2</v>
      </c>
      <c r="AJ20" s="173">
        <f t="shared" si="3"/>
        <v>7.7602826808373715E-2</v>
      </c>
      <c r="AK20" s="173">
        <f t="shared" si="4"/>
        <v>7.879478743612145E-2</v>
      </c>
      <c r="AL20" s="181">
        <f t="shared" si="13"/>
        <v>0.19369280842666825</v>
      </c>
      <c r="AM20" s="66"/>
    </row>
    <row r="21" spans="2:39" x14ac:dyDescent="0.3">
      <c r="B21" s="66"/>
      <c r="C21" s="77">
        <v>900</v>
      </c>
      <c r="D21" s="78">
        <v>0.97533039647577091</v>
      </c>
      <c r="E21" s="79"/>
      <c r="F21" s="67">
        <f>IF($C21&gt;Tariffs!$E$21,(Tariffs!$F$19*Tariffs!$H$19)+(Tariffs!$F$20*Tariffs!$H$20)+(Tariffs!$F$21*Tariffs!$H$21)+(($C21-Tariffs!$E$21)*Tariffs!$H$22),IF(AND($C21&gt;Tariffs!$E$19,$C21&lt;=Tariffs!$E$20),(Tariffs!$F$19*Tariffs!$H$19)+(($C21-Tariffs!$E$19)*Tariffs!$H$20),IF(AND($C21&gt;Tariffs!$E$20,$C21&lt;=Tariffs!$E$21),(Tariffs!$F$19*Tariffs!$H$19)+(Tariffs!$F$20*Tariffs!$H$20)+(($C21-Tariffs!$E$20)*Tariffs!$H$21),$C21*Tariffs!$H$19)))</f>
        <v>165.85068441127351</v>
      </c>
      <c r="G21" s="80">
        <f t="shared" si="5"/>
        <v>165.85068441127351</v>
      </c>
      <c r="H21" s="67">
        <f>$C21*Tariffs!$J$8</f>
        <v>405.98191124006053</v>
      </c>
      <c r="I21" s="67">
        <f t="shared" si="6"/>
        <v>571.83259565133403</v>
      </c>
      <c r="J21" s="67">
        <f>I21*Tariffs!$I$8</f>
        <v>100.07070423898345</v>
      </c>
      <c r="K21" s="81">
        <f t="shared" si="7"/>
        <v>671.9032998903175</v>
      </c>
      <c r="L21" s="81"/>
      <c r="M21" s="79"/>
      <c r="N21" s="67">
        <f t="shared" si="8"/>
        <v>165.85068441127351</v>
      </c>
      <c r="O21" s="80">
        <f t="shared" si="9"/>
        <v>165.85068441127351</v>
      </c>
      <c r="P21" s="67">
        <f>$C21*Tariffs!$J$8</f>
        <v>405.98191124006053</v>
      </c>
      <c r="Q21" s="67"/>
      <c r="R21" s="67">
        <f>$C21*Tariffs!K$18</f>
        <v>21.148200000000003</v>
      </c>
      <c r="S21" s="67">
        <f>$C21*Tariffs!L$18</f>
        <v>44.004600000000003</v>
      </c>
      <c r="T21" s="67">
        <f>$C21*Tariffs!M$18</f>
        <v>44.680500000000002</v>
      </c>
      <c r="U21" s="67"/>
      <c r="V21" s="67">
        <f t="shared" si="10"/>
        <v>592.98079565133401</v>
      </c>
      <c r="W21" s="67">
        <f t="shared" si="10"/>
        <v>615.83719565133401</v>
      </c>
      <c r="X21" s="67">
        <f t="shared" si="10"/>
        <v>616.51309565133408</v>
      </c>
      <c r="Y21" s="67"/>
      <c r="Z21" s="67">
        <f>V21*(1+Tariffs!$I$8)</f>
        <v>696.75243489031743</v>
      </c>
      <c r="AA21" s="67">
        <f>W21*(1+Tariffs!$I$8)</f>
        <v>723.60870489031754</v>
      </c>
      <c r="AB21" s="67">
        <f>X21*(1+Tariffs!$I$8)</f>
        <v>724.40288739031757</v>
      </c>
      <c r="AC21" s="82"/>
      <c r="AD21" s="83">
        <f t="shared" si="0"/>
        <v>900</v>
      </c>
      <c r="AE21" s="67">
        <f t="shared" si="11"/>
        <v>24.849134999999933</v>
      </c>
      <c r="AF21" s="67">
        <f t="shared" si="1"/>
        <v>51.705405000000042</v>
      </c>
      <c r="AG21" s="67">
        <f t="shared" si="1"/>
        <v>52.499587500000075</v>
      </c>
      <c r="AH21" s="80">
        <f t="shared" si="12"/>
        <v>129.05412750000005</v>
      </c>
      <c r="AI21" s="172">
        <f t="shared" si="2"/>
        <v>3.6983201308962599E-2</v>
      </c>
      <c r="AJ21" s="172">
        <f t="shared" si="3"/>
        <v>7.6953640514104471E-2</v>
      </c>
      <c r="AK21" s="172">
        <f t="shared" si="4"/>
        <v>7.8135629797576822E-2</v>
      </c>
      <c r="AL21" s="180">
        <f t="shared" si="13"/>
        <v>0.19207247162064389</v>
      </c>
      <c r="AM21" s="66"/>
    </row>
    <row r="22" spans="2:39" x14ac:dyDescent="0.3">
      <c r="B22" s="66"/>
      <c r="C22" s="84">
        <v>1000</v>
      </c>
      <c r="D22" s="85">
        <v>0.98361233480176213</v>
      </c>
      <c r="E22" s="86"/>
      <c r="F22" s="88">
        <f>IF($C22&gt;Tariffs!$E$21,(Tariffs!$F$19*Tariffs!$H$19)+(Tariffs!$F$20*Tariffs!$H$20)+(Tariffs!$F$21*Tariffs!$H$21)+(($C22-Tariffs!$E$21)*Tariffs!$H$22),IF(AND($C22&gt;Tariffs!$E$19,$C22&lt;=Tariffs!$E$20),(Tariffs!$F$19*Tariffs!$H$19)+(($C22-Tariffs!$E$19)*Tariffs!$H$20),IF(AND($C22&gt;Tariffs!$E$20,$C22&lt;=Tariffs!$E$21),(Tariffs!$F$19*Tariffs!$H$19)+(Tariffs!$F$20*Tariffs!$H$20)+(($C22-Tariffs!$E$20)*Tariffs!$H$21),$C22*Tariffs!$H$19)))</f>
        <v>188.53068441127351</v>
      </c>
      <c r="G22" s="87">
        <f t="shared" si="5"/>
        <v>188.53068441127351</v>
      </c>
      <c r="H22" s="88">
        <f>$C22*Tariffs!$J$8</f>
        <v>451.09101248895615</v>
      </c>
      <c r="I22" s="88">
        <f t="shared" si="6"/>
        <v>639.62169690022961</v>
      </c>
      <c r="J22" s="88">
        <f>I22*Tariffs!$I$8</f>
        <v>111.93379695754018</v>
      </c>
      <c r="K22" s="89">
        <f t="shared" si="7"/>
        <v>751.55549385776976</v>
      </c>
      <c r="L22" s="81"/>
      <c r="M22" s="86"/>
      <c r="N22" s="88">
        <f t="shared" si="8"/>
        <v>188.53068441127351</v>
      </c>
      <c r="O22" s="87">
        <f t="shared" si="9"/>
        <v>188.53068441127351</v>
      </c>
      <c r="P22" s="88">
        <f>$C22*Tariffs!$J$8</f>
        <v>451.09101248895615</v>
      </c>
      <c r="Q22" s="67"/>
      <c r="R22" s="88">
        <f>$C22*Tariffs!K$18</f>
        <v>23.498000000000001</v>
      </c>
      <c r="S22" s="88">
        <f>$C22*Tariffs!L$18</f>
        <v>48.893999999999998</v>
      </c>
      <c r="T22" s="88">
        <f>$C22*Tariffs!M$18</f>
        <v>49.645000000000003</v>
      </c>
      <c r="U22" s="67"/>
      <c r="V22" s="88">
        <f t="shared" si="10"/>
        <v>663.11969690022966</v>
      </c>
      <c r="W22" s="88">
        <f t="shared" si="10"/>
        <v>688.51569690022961</v>
      </c>
      <c r="X22" s="88">
        <f t="shared" si="10"/>
        <v>689.26669690022959</v>
      </c>
      <c r="Y22" s="67"/>
      <c r="Z22" s="88">
        <f>V22*(1+Tariffs!$I$8)</f>
        <v>779.16564385776985</v>
      </c>
      <c r="AA22" s="88">
        <f>W22*(1+Tariffs!$I$8)</f>
        <v>809.00594385776981</v>
      </c>
      <c r="AB22" s="88">
        <f>X22*(1+Tariffs!$I$8)</f>
        <v>809.88836885776982</v>
      </c>
      <c r="AC22" s="82"/>
      <c r="AD22" s="90">
        <f t="shared" si="0"/>
        <v>1000</v>
      </c>
      <c r="AE22" s="88">
        <f t="shared" si="11"/>
        <v>27.61015000000009</v>
      </c>
      <c r="AF22" s="88">
        <f t="shared" si="1"/>
        <v>57.450450000000046</v>
      </c>
      <c r="AG22" s="88">
        <f t="shared" si="1"/>
        <v>58.332875000000058</v>
      </c>
      <c r="AH22" s="87">
        <f t="shared" si="12"/>
        <v>143.39347500000019</v>
      </c>
      <c r="AI22" s="173">
        <f t="shared" si="2"/>
        <v>3.67373403902298E-2</v>
      </c>
      <c r="AJ22" s="173">
        <f t="shared" si="3"/>
        <v>7.6442059794020301E-2</v>
      </c>
      <c r="AK22" s="173">
        <f t="shared" si="4"/>
        <v>7.7616191321514538E-2</v>
      </c>
      <c r="AL22" s="181">
        <f t="shared" si="13"/>
        <v>0.19079559150576464</v>
      </c>
      <c r="AM22" s="66"/>
    </row>
    <row r="23" spans="2:39" x14ac:dyDescent="0.3">
      <c r="B23" s="66"/>
      <c r="C23" s="77">
        <v>1100</v>
      </c>
      <c r="D23" s="78">
        <v>0.98872246696035249</v>
      </c>
      <c r="E23" s="79"/>
      <c r="F23" s="67">
        <f>IF($C23&gt;Tariffs!$E$21,(Tariffs!$F$19*Tariffs!$H$19)+(Tariffs!$F$20*Tariffs!$H$20)+(Tariffs!$F$21*Tariffs!$H$21)+(($C23-Tariffs!$E$21)*Tariffs!$H$22),IF(AND($C23&gt;Tariffs!$E$19,$C23&lt;=Tariffs!$E$20),(Tariffs!$F$19*Tariffs!$H$19)+(($C23-Tariffs!$E$19)*Tariffs!$H$20),IF(AND($C23&gt;Tariffs!$E$20,$C23&lt;=Tariffs!$E$21),(Tariffs!$F$19*Tariffs!$H$19)+(Tariffs!$F$20*Tariffs!$H$20)+(($C23-Tariffs!$E$20)*Tariffs!$H$21),$C23*Tariffs!$H$19)))</f>
        <v>211.21068441127352</v>
      </c>
      <c r="G23" s="80">
        <f t="shared" si="5"/>
        <v>211.21068441127352</v>
      </c>
      <c r="H23" s="67">
        <f>$C23*Tariffs!$J$8</f>
        <v>496.20011373785178</v>
      </c>
      <c r="I23" s="67">
        <f t="shared" si="6"/>
        <v>707.4107981491253</v>
      </c>
      <c r="J23" s="67">
        <f>I23*Tariffs!$I$8</f>
        <v>123.79688967609692</v>
      </c>
      <c r="K23" s="81">
        <f t="shared" si="7"/>
        <v>831.20768782522225</v>
      </c>
      <c r="L23" s="81"/>
      <c r="M23" s="79"/>
      <c r="N23" s="67">
        <f t="shared" si="8"/>
        <v>211.21068441127352</v>
      </c>
      <c r="O23" s="80">
        <f t="shared" si="9"/>
        <v>211.21068441127352</v>
      </c>
      <c r="P23" s="67">
        <f>$C23*Tariffs!$J$8</f>
        <v>496.20011373785178</v>
      </c>
      <c r="Q23" s="67"/>
      <c r="R23" s="67">
        <f>$C23*Tariffs!K$18</f>
        <v>25.847800000000003</v>
      </c>
      <c r="S23" s="67">
        <f>$C23*Tariffs!L$18</f>
        <v>53.7834</v>
      </c>
      <c r="T23" s="67">
        <f>$C23*Tariffs!M$18</f>
        <v>54.609500000000004</v>
      </c>
      <c r="U23" s="67"/>
      <c r="V23" s="67">
        <f t="shared" si="10"/>
        <v>733.25859814912531</v>
      </c>
      <c r="W23" s="67">
        <f t="shared" si="10"/>
        <v>761.19419814912533</v>
      </c>
      <c r="X23" s="67">
        <f t="shared" si="10"/>
        <v>762.02029814912532</v>
      </c>
      <c r="Y23" s="67"/>
      <c r="Z23" s="67">
        <f>V23*(1+Tariffs!$I$8)</f>
        <v>861.57885282522227</v>
      </c>
      <c r="AA23" s="67">
        <f>W23*(1+Tariffs!$I$8)</f>
        <v>894.4031828252223</v>
      </c>
      <c r="AB23" s="67">
        <f>X23*(1+Tariffs!$I$8)</f>
        <v>895.37385032522229</v>
      </c>
      <c r="AC23" s="82"/>
      <c r="AD23" s="83">
        <f t="shared" si="0"/>
        <v>1100</v>
      </c>
      <c r="AE23" s="67">
        <f t="shared" si="11"/>
        <v>30.371165000000019</v>
      </c>
      <c r="AF23" s="67">
        <f t="shared" si="11"/>
        <v>63.195495000000051</v>
      </c>
      <c r="AG23" s="67">
        <f t="shared" si="11"/>
        <v>64.166162500000041</v>
      </c>
      <c r="AH23" s="80">
        <f t="shared" si="12"/>
        <v>157.73282250000011</v>
      </c>
      <c r="AI23" s="172">
        <f t="shared" si="2"/>
        <v>3.6538599732472754E-2</v>
      </c>
      <c r="AJ23" s="172">
        <f t="shared" si="3"/>
        <v>7.6028525632799715E-2</v>
      </c>
      <c r="AK23" s="172">
        <f t="shared" si="4"/>
        <v>7.7196305375717644E-2</v>
      </c>
      <c r="AL23" s="180">
        <f t="shared" si="13"/>
        <v>0.18976343074099011</v>
      </c>
      <c r="AM23" s="66"/>
    </row>
    <row r="24" spans="2:39" x14ac:dyDescent="0.3">
      <c r="B24" s="66"/>
      <c r="C24" s="84">
        <v>1200</v>
      </c>
      <c r="D24" s="85">
        <v>0.99277533039647581</v>
      </c>
      <c r="E24" s="86"/>
      <c r="F24" s="88">
        <f>IF($C24&gt;Tariffs!$E$21,(Tariffs!$F$19*Tariffs!$H$19)+(Tariffs!$F$20*Tariffs!$H$20)+(Tariffs!$F$21*Tariffs!$H$21)+(($C24-Tariffs!$E$21)*Tariffs!$H$22),IF(AND($C24&gt;Tariffs!$E$19,$C24&lt;=Tariffs!$E$20),(Tariffs!$F$19*Tariffs!$H$19)+(($C24-Tariffs!$E$19)*Tariffs!$H$20),IF(AND($C24&gt;Tariffs!$E$20,$C24&lt;=Tariffs!$E$21),(Tariffs!$F$19*Tariffs!$H$19)+(Tariffs!$F$20*Tariffs!$H$20)+(($C24-Tariffs!$E$20)*Tariffs!$H$21),$C24*Tariffs!$H$19)))</f>
        <v>233.89068441127347</v>
      </c>
      <c r="G24" s="87">
        <f t="shared" si="5"/>
        <v>233.89068441127347</v>
      </c>
      <c r="H24" s="88">
        <f>$C24*Tariffs!$J$8</f>
        <v>541.30921498674741</v>
      </c>
      <c r="I24" s="88">
        <f t="shared" si="6"/>
        <v>775.19989939802088</v>
      </c>
      <c r="J24" s="88">
        <f>I24*Tariffs!$I$8</f>
        <v>135.65998239465364</v>
      </c>
      <c r="K24" s="89">
        <f t="shared" si="7"/>
        <v>910.85988179267451</v>
      </c>
      <c r="L24" s="81"/>
      <c r="M24" s="86"/>
      <c r="N24" s="88">
        <f t="shared" si="8"/>
        <v>233.89068441127347</v>
      </c>
      <c r="O24" s="87">
        <f t="shared" si="9"/>
        <v>233.89068441127347</v>
      </c>
      <c r="P24" s="88">
        <f>$C24*Tariffs!$J$8</f>
        <v>541.30921498674741</v>
      </c>
      <c r="Q24" s="67"/>
      <c r="R24" s="88">
        <f>$C24*Tariffs!K$18</f>
        <v>28.197600000000001</v>
      </c>
      <c r="S24" s="88">
        <f>$C24*Tariffs!L$18</f>
        <v>58.672800000000002</v>
      </c>
      <c r="T24" s="88">
        <f>$C24*Tariffs!M$18</f>
        <v>59.574000000000005</v>
      </c>
      <c r="U24" s="67"/>
      <c r="V24" s="88">
        <f t="shared" si="10"/>
        <v>803.39749939802084</v>
      </c>
      <c r="W24" s="88">
        <f t="shared" si="10"/>
        <v>833.87269939802093</v>
      </c>
      <c r="X24" s="88">
        <f t="shared" si="10"/>
        <v>834.77389939802083</v>
      </c>
      <c r="Y24" s="67"/>
      <c r="Z24" s="88">
        <f>V24*(1+Tariffs!$I$8)</f>
        <v>943.99206179267458</v>
      </c>
      <c r="AA24" s="88">
        <f>W24*(1+Tariffs!$I$8)</f>
        <v>979.80042179267468</v>
      </c>
      <c r="AB24" s="88">
        <f>X24*(1+Tariffs!$I$8)</f>
        <v>980.85933179267454</v>
      </c>
      <c r="AC24" s="82"/>
      <c r="AD24" s="90">
        <f t="shared" si="0"/>
        <v>1200</v>
      </c>
      <c r="AE24" s="88">
        <f t="shared" si="11"/>
        <v>33.132180000000062</v>
      </c>
      <c r="AF24" s="88">
        <f t="shared" si="11"/>
        <v>68.940540000000169</v>
      </c>
      <c r="AG24" s="88">
        <f t="shared" si="11"/>
        <v>69.999450000000024</v>
      </c>
      <c r="AH24" s="87">
        <f t="shared" si="12"/>
        <v>172.07217000000026</v>
      </c>
      <c r="AI24" s="173">
        <f t="shared" si="2"/>
        <v>3.637461772363082E-2</v>
      </c>
      <c r="AJ24" s="173">
        <f t="shared" si="3"/>
        <v>7.5687316323908682E-2</v>
      </c>
      <c r="AK24" s="173">
        <f t="shared" si="4"/>
        <v>7.6849855174467852E-2</v>
      </c>
      <c r="AL24" s="181">
        <f t="shared" si="13"/>
        <v>0.18891178922200735</v>
      </c>
      <c r="AM24" s="66"/>
    </row>
    <row r="25" spans="2:39" x14ac:dyDescent="0.3">
      <c r="B25" s="66"/>
      <c r="C25" s="77">
        <v>1300</v>
      </c>
      <c r="D25" s="78">
        <v>0.99488986784140976</v>
      </c>
      <c r="E25" s="79"/>
      <c r="F25" s="67">
        <f>IF($C25&gt;Tariffs!$E$21,(Tariffs!$F$19*Tariffs!$H$19)+(Tariffs!$F$20*Tariffs!$H$20)+(Tariffs!$F$21*Tariffs!$H$21)+(($C25-Tariffs!$E$21)*Tariffs!$H$22),IF(AND($C25&gt;Tariffs!$E$19,$C25&lt;=Tariffs!$E$20),(Tariffs!$F$19*Tariffs!$H$19)+(($C25-Tariffs!$E$19)*Tariffs!$H$20),IF(AND($C25&gt;Tariffs!$E$20,$C25&lt;=Tariffs!$E$21),(Tariffs!$F$19*Tariffs!$H$19)+(Tariffs!$F$20*Tariffs!$H$20)+(($C25-Tariffs!$E$20)*Tariffs!$H$21),$C25*Tariffs!$H$19)))</f>
        <v>256.57068441127348</v>
      </c>
      <c r="G25" s="80">
        <f t="shared" si="5"/>
        <v>256.57068441127348</v>
      </c>
      <c r="H25" s="67">
        <f>$C25*Tariffs!$J$8</f>
        <v>586.41831623564303</v>
      </c>
      <c r="I25" s="67">
        <f t="shared" si="6"/>
        <v>842.98900064691657</v>
      </c>
      <c r="J25" s="67">
        <f>I25*Tariffs!$I$8</f>
        <v>147.52307511321038</v>
      </c>
      <c r="K25" s="81">
        <f t="shared" si="7"/>
        <v>990.51207576012689</v>
      </c>
      <c r="L25" s="81"/>
      <c r="M25" s="79"/>
      <c r="N25" s="67">
        <f t="shared" si="8"/>
        <v>256.57068441127348</v>
      </c>
      <c r="O25" s="80">
        <f t="shared" si="9"/>
        <v>256.57068441127348</v>
      </c>
      <c r="P25" s="67">
        <f>$C25*Tariffs!$J$8</f>
        <v>586.41831623564303</v>
      </c>
      <c r="Q25" s="67"/>
      <c r="R25" s="67">
        <f>$C25*Tariffs!K$18</f>
        <v>30.547400000000003</v>
      </c>
      <c r="S25" s="67">
        <f>$C25*Tariffs!L$18</f>
        <v>63.562199999999997</v>
      </c>
      <c r="T25" s="67">
        <f>$C25*Tariffs!M$18</f>
        <v>64.538499999999999</v>
      </c>
      <c r="U25" s="67"/>
      <c r="V25" s="67">
        <f t="shared" si="10"/>
        <v>873.5364006469166</v>
      </c>
      <c r="W25" s="67">
        <f t="shared" si="10"/>
        <v>906.55120064691653</v>
      </c>
      <c r="X25" s="67">
        <f t="shared" si="10"/>
        <v>907.52750064691656</v>
      </c>
      <c r="Y25" s="67"/>
      <c r="Z25" s="67">
        <f>V25*(1+Tariffs!$I$8)</f>
        <v>1026.405270760127</v>
      </c>
      <c r="AA25" s="67">
        <f>W25*(1+Tariffs!$I$8)</f>
        <v>1065.1976607601271</v>
      </c>
      <c r="AB25" s="67">
        <f>X25*(1+Tariffs!$I$8)</f>
        <v>1066.344813260127</v>
      </c>
      <c r="AC25" s="82"/>
      <c r="AD25" s="83">
        <f t="shared" si="0"/>
        <v>1300</v>
      </c>
      <c r="AE25" s="67">
        <f t="shared" si="11"/>
        <v>35.893195000000105</v>
      </c>
      <c r="AF25" s="67">
        <f t="shared" si="11"/>
        <v>74.685585000000174</v>
      </c>
      <c r="AG25" s="67">
        <f t="shared" si="11"/>
        <v>75.832737500000121</v>
      </c>
      <c r="AH25" s="80">
        <f t="shared" si="12"/>
        <v>186.4115175000004</v>
      </c>
      <c r="AI25" s="172">
        <f t="shared" si="2"/>
        <v>3.6237008996033993E-2</v>
      </c>
      <c r="AJ25" s="172">
        <f t="shared" si="3"/>
        <v>7.5400983822116352E-2</v>
      </c>
      <c r="AK25" s="172">
        <f t="shared" si="4"/>
        <v>7.6559124674785428E-2</v>
      </c>
      <c r="AL25" s="180">
        <f t="shared" si="13"/>
        <v>0.18819711749293577</v>
      </c>
      <c r="AM25" s="66"/>
    </row>
    <row r="26" spans="2:39" x14ac:dyDescent="0.3">
      <c r="B26" s="66"/>
      <c r="C26" s="84">
        <v>1400</v>
      </c>
      <c r="D26" s="85">
        <v>0.99524229074889869</v>
      </c>
      <c r="E26" s="86"/>
      <c r="F26" s="88">
        <f>IF($C26&gt;Tariffs!$E$21,(Tariffs!$F$19*Tariffs!$H$19)+(Tariffs!$F$20*Tariffs!$H$20)+(Tariffs!$F$21*Tariffs!$H$21)+(($C26-Tariffs!$E$21)*Tariffs!$H$22),IF(AND($C26&gt;Tariffs!$E$19,$C26&lt;=Tariffs!$E$20),(Tariffs!$F$19*Tariffs!$H$19)+(($C26-Tariffs!$E$19)*Tariffs!$H$20),IF(AND($C26&gt;Tariffs!$E$20,$C26&lt;=Tariffs!$E$21),(Tariffs!$F$19*Tariffs!$H$19)+(Tariffs!$F$20*Tariffs!$H$20)+(($C26-Tariffs!$E$20)*Tariffs!$H$21),$C26*Tariffs!$H$19)))</f>
        <v>279.25068441127348</v>
      </c>
      <c r="G26" s="87">
        <f t="shared" si="5"/>
        <v>279.25068441127348</v>
      </c>
      <c r="H26" s="88">
        <f>$C26*Tariffs!$J$8</f>
        <v>631.52741748453866</v>
      </c>
      <c r="I26" s="88">
        <f t="shared" si="6"/>
        <v>910.77810189581214</v>
      </c>
      <c r="J26" s="88">
        <f>I26*Tariffs!$I$8</f>
        <v>159.38616783176712</v>
      </c>
      <c r="K26" s="89">
        <f t="shared" si="7"/>
        <v>1070.1642697275793</v>
      </c>
      <c r="L26" s="81"/>
      <c r="M26" s="86"/>
      <c r="N26" s="88">
        <f t="shared" si="8"/>
        <v>279.25068441127348</v>
      </c>
      <c r="O26" s="87">
        <f t="shared" si="9"/>
        <v>279.25068441127348</v>
      </c>
      <c r="P26" s="88">
        <f>$C26*Tariffs!$J$8</f>
        <v>631.52741748453866</v>
      </c>
      <c r="Q26" s="67"/>
      <c r="R26" s="88">
        <f>$C26*Tariffs!K$18</f>
        <v>32.897200000000005</v>
      </c>
      <c r="S26" s="88">
        <f>$C26*Tariffs!L$18</f>
        <v>68.451599999999999</v>
      </c>
      <c r="T26" s="88">
        <f>$C26*Tariffs!M$18</f>
        <v>69.503</v>
      </c>
      <c r="U26" s="67"/>
      <c r="V26" s="88">
        <f t="shared" si="10"/>
        <v>943.67530189581214</v>
      </c>
      <c r="W26" s="88">
        <f t="shared" si="10"/>
        <v>979.22970189581213</v>
      </c>
      <c r="X26" s="88">
        <f t="shared" si="10"/>
        <v>980.28110189581218</v>
      </c>
      <c r="Y26" s="67"/>
      <c r="Z26" s="88">
        <f>V26*(1+Tariffs!$I$8)</f>
        <v>1108.8184797275794</v>
      </c>
      <c r="AA26" s="88">
        <f>W26*(1+Tariffs!$I$8)</f>
        <v>1150.5948997275793</v>
      </c>
      <c r="AB26" s="88">
        <f>X26*(1+Tariffs!$I$8)</f>
        <v>1151.8302947275793</v>
      </c>
      <c r="AC26" s="82"/>
      <c r="AD26" s="90">
        <f t="shared" si="0"/>
        <v>1400</v>
      </c>
      <c r="AE26" s="88">
        <f t="shared" si="11"/>
        <v>38.654210000000148</v>
      </c>
      <c r="AF26" s="88">
        <f t="shared" si="11"/>
        <v>80.430630000000065</v>
      </c>
      <c r="AG26" s="88">
        <f t="shared" si="11"/>
        <v>81.666024999999991</v>
      </c>
      <c r="AH26" s="87">
        <f t="shared" si="12"/>
        <v>200.7508650000002</v>
      </c>
      <c r="AI26" s="173">
        <f t="shared" si="2"/>
        <v>3.6119884669518987E-2</v>
      </c>
      <c r="AJ26" s="173">
        <f t="shared" si="3"/>
        <v>7.5157274705568877E-2</v>
      </c>
      <c r="AK26" s="173">
        <f t="shared" si="4"/>
        <v>7.6311672245223505E-2</v>
      </c>
      <c r="AL26" s="181">
        <f t="shared" si="13"/>
        <v>0.18758883162031137</v>
      </c>
      <c r="AM26" s="66"/>
    </row>
    <row r="27" spans="2:39" x14ac:dyDescent="0.3">
      <c r="B27" s="66"/>
      <c r="C27" s="77">
        <v>1500</v>
      </c>
      <c r="D27" s="78">
        <v>0.99577092511013221</v>
      </c>
      <c r="E27" s="79"/>
      <c r="F27" s="67">
        <f>IF($C27&gt;Tariffs!$E$21,(Tariffs!$F$19*Tariffs!$H$19)+(Tariffs!$F$20*Tariffs!$H$20)+(Tariffs!$F$21*Tariffs!$H$21)+(($C27-Tariffs!$E$21)*Tariffs!$H$22),IF(AND($C27&gt;Tariffs!$E$19,$C27&lt;=Tariffs!$E$20),(Tariffs!$F$19*Tariffs!$H$19)+(($C27-Tariffs!$E$19)*Tariffs!$H$20),IF(AND($C27&gt;Tariffs!$E$20,$C27&lt;=Tariffs!$E$21),(Tariffs!$F$19*Tariffs!$H$19)+(Tariffs!$F$20*Tariffs!$H$20)+(($C27-Tariffs!$E$20)*Tariffs!$H$21),$C27*Tariffs!$H$19)))</f>
        <v>301.93068441127349</v>
      </c>
      <c r="G27" s="80">
        <f t="shared" si="5"/>
        <v>301.93068441127349</v>
      </c>
      <c r="H27" s="67">
        <f>$C27*Tariffs!$J$8</f>
        <v>676.63651873343429</v>
      </c>
      <c r="I27" s="67">
        <f t="shared" si="6"/>
        <v>978.56720314470772</v>
      </c>
      <c r="J27" s="67">
        <f>I27*Tariffs!$I$8</f>
        <v>171.24926055032384</v>
      </c>
      <c r="K27" s="81">
        <f t="shared" si="7"/>
        <v>1149.8164636950316</v>
      </c>
      <c r="L27" s="81"/>
      <c r="M27" s="79"/>
      <c r="N27" s="67">
        <f t="shared" si="8"/>
        <v>301.93068441127349</v>
      </c>
      <c r="O27" s="80">
        <f t="shared" si="9"/>
        <v>301.93068441127349</v>
      </c>
      <c r="P27" s="67">
        <f>$C27*Tariffs!$J$8</f>
        <v>676.63651873343429</v>
      </c>
      <c r="Q27" s="67"/>
      <c r="R27" s="67">
        <f>$C27*Tariffs!K$18</f>
        <v>35.247</v>
      </c>
      <c r="S27" s="67">
        <f>$C27*Tariffs!L$18</f>
        <v>73.340999999999994</v>
      </c>
      <c r="T27" s="67">
        <f>$C27*Tariffs!M$18</f>
        <v>74.467500000000001</v>
      </c>
      <c r="U27" s="67"/>
      <c r="V27" s="67">
        <f t="shared" si="10"/>
        <v>1013.8142031447077</v>
      </c>
      <c r="W27" s="67">
        <f t="shared" si="10"/>
        <v>1051.9082031447076</v>
      </c>
      <c r="X27" s="67">
        <f t="shared" si="10"/>
        <v>1053.0347031447077</v>
      </c>
      <c r="Y27" s="67"/>
      <c r="Z27" s="67">
        <f>V27*(1+Tariffs!$I$8)</f>
        <v>1191.2316886950316</v>
      </c>
      <c r="AA27" s="67">
        <f>W27*(1+Tariffs!$I$8)</f>
        <v>1235.9921386950316</v>
      </c>
      <c r="AB27" s="67">
        <f>X27*(1+Tariffs!$I$8)</f>
        <v>1237.3157761950315</v>
      </c>
      <c r="AC27" s="82"/>
      <c r="AD27" s="83">
        <f t="shared" si="0"/>
        <v>1500</v>
      </c>
      <c r="AE27" s="67">
        <f t="shared" si="11"/>
        <v>41.415224999999964</v>
      </c>
      <c r="AF27" s="67">
        <f t="shared" si="11"/>
        <v>86.175674999999956</v>
      </c>
      <c r="AG27" s="67">
        <f t="shared" si="11"/>
        <v>87.49931249999986</v>
      </c>
      <c r="AH27" s="80">
        <f t="shared" si="12"/>
        <v>215.09021249999978</v>
      </c>
      <c r="AI27" s="172">
        <f t="shared" si="2"/>
        <v>3.601898764513134E-2</v>
      </c>
      <c r="AJ27" s="172">
        <f t="shared" si="3"/>
        <v>7.4947330918420763E-2</v>
      </c>
      <c r="AK27" s="172">
        <f t="shared" si="4"/>
        <v>7.6098503772344284E-2</v>
      </c>
      <c r="AL27" s="180">
        <f t="shared" si="13"/>
        <v>0.18706482233589639</v>
      </c>
      <c r="AM27" s="66"/>
    </row>
    <row r="28" spans="2:39" x14ac:dyDescent="0.3">
      <c r="B28" s="66"/>
      <c r="C28" s="84">
        <v>1600</v>
      </c>
      <c r="D28" s="85">
        <v>0.99594713656387668</v>
      </c>
      <c r="E28" s="86"/>
      <c r="F28" s="88">
        <f>IF($C28&gt;Tariffs!$E$21,(Tariffs!$F$19*Tariffs!$H$19)+(Tariffs!$F$20*Tariffs!$H$20)+(Tariffs!$F$21*Tariffs!$H$21)+(($C28-Tariffs!$E$21)*Tariffs!$H$22),IF(AND($C28&gt;Tariffs!$E$19,$C28&lt;=Tariffs!$E$20),(Tariffs!$F$19*Tariffs!$H$19)+(($C28-Tariffs!$E$19)*Tariffs!$H$20),IF(AND($C28&gt;Tariffs!$E$20,$C28&lt;=Tariffs!$E$21),(Tariffs!$F$19*Tariffs!$H$19)+(Tariffs!$F$20*Tariffs!$H$20)+(($C28-Tariffs!$E$20)*Tariffs!$H$21),$C28*Tariffs!$H$19)))</f>
        <v>327.38268441127349</v>
      </c>
      <c r="G28" s="87">
        <f t="shared" si="5"/>
        <v>327.38268441127349</v>
      </c>
      <c r="H28" s="88">
        <f>$C28*Tariffs!$J$8</f>
        <v>721.74561998232991</v>
      </c>
      <c r="I28" s="88">
        <f t="shared" si="6"/>
        <v>1049.1283043936035</v>
      </c>
      <c r="J28" s="88">
        <f>I28*Tariffs!$I$8</f>
        <v>183.5974532688806</v>
      </c>
      <c r="K28" s="89">
        <f t="shared" si="7"/>
        <v>1232.7257576624841</v>
      </c>
      <c r="L28" s="81"/>
      <c r="M28" s="86"/>
      <c r="N28" s="88">
        <f t="shared" si="8"/>
        <v>327.38268441127349</v>
      </c>
      <c r="O28" s="87">
        <f t="shared" si="9"/>
        <v>327.38268441127349</v>
      </c>
      <c r="P28" s="88">
        <f>$C28*Tariffs!$J$8</f>
        <v>721.74561998232991</v>
      </c>
      <c r="Q28" s="67"/>
      <c r="R28" s="88">
        <f>$C28*Tariffs!K$18</f>
        <v>37.596800000000002</v>
      </c>
      <c r="S28" s="88">
        <f>$C28*Tariffs!L$18</f>
        <v>78.230400000000003</v>
      </c>
      <c r="T28" s="88">
        <f>$C28*Tariffs!M$18</f>
        <v>79.432000000000002</v>
      </c>
      <c r="U28" s="67"/>
      <c r="V28" s="88">
        <f t="shared" si="10"/>
        <v>1086.7251043936035</v>
      </c>
      <c r="W28" s="88">
        <f t="shared" si="10"/>
        <v>1127.3587043936034</v>
      </c>
      <c r="X28" s="88">
        <f t="shared" si="10"/>
        <v>1128.5603043936035</v>
      </c>
      <c r="Y28" s="67"/>
      <c r="Z28" s="88">
        <f>V28*(1+Tariffs!$I$8)</f>
        <v>1276.9019976624841</v>
      </c>
      <c r="AA28" s="88">
        <f>W28*(1+Tariffs!$I$8)</f>
        <v>1324.6464776624839</v>
      </c>
      <c r="AB28" s="88">
        <f>X28*(1+Tariffs!$I$8)</f>
        <v>1326.0583576624842</v>
      </c>
      <c r="AC28" s="82"/>
      <c r="AD28" s="114">
        <f t="shared" si="0"/>
        <v>1600</v>
      </c>
      <c r="AE28" s="136">
        <f t="shared" si="11"/>
        <v>44.176240000000007</v>
      </c>
      <c r="AF28" s="136">
        <f t="shared" si="11"/>
        <v>91.920719999999847</v>
      </c>
      <c r="AG28" s="136">
        <f t="shared" si="11"/>
        <v>93.332600000000184</v>
      </c>
      <c r="AH28" s="183">
        <f t="shared" si="12"/>
        <v>229.42956000000004</v>
      </c>
      <c r="AI28" s="184">
        <f t="shared" si="2"/>
        <v>3.5836226934827575E-2</v>
      </c>
      <c r="AJ28" s="184">
        <f t="shared" si="3"/>
        <v>7.4567047397712694E-2</v>
      </c>
      <c r="AK28" s="184">
        <f t="shared" si="4"/>
        <v>7.5712379188846546E-2</v>
      </c>
      <c r="AL28" s="185">
        <f t="shared" si="13"/>
        <v>0.18611565352138681</v>
      </c>
      <c r="AM28" s="66"/>
    </row>
    <row r="29" spans="2:3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x14ac:dyDescent="0.3">
      <c r="L30" s="68"/>
    </row>
    <row r="31" spans="2:39" x14ac:dyDescent="0.3">
      <c r="L31" s="68"/>
    </row>
    <row r="32" spans="2:3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E4:J4"/>
    <mergeCell ref="N4:AB4"/>
    <mergeCell ref="AE4:AL4"/>
    <mergeCell ref="R5:T5"/>
    <mergeCell ref="V5:X5"/>
    <mergeCell ref="Z5:AB5"/>
    <mergeCell ref="AE5:AH5"/>
    <mergeCell ref="AI5:AL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EB569-4991-466A-BA72-AA36BB17AAA8}">
  <dimension ref="B1:AM719"/>
  <sheetViews>
    <sheetView workbookViewId="0">
      <selection activeCell="E16" sqref="E16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customWidth="1" collapsed="1"/>
    <col min="30" max="30" width="10" style="68" bestFit="1" customWidth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1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18" customHeight="1" x14ac:dyDescent="0.3">
      <c r="B3" s="66"/>
      <c r="C3" s="69" t="str">
        <f>"General Service Tariff Bill Impacts"&amp;"-"&amp;'CETR Rate'!I3</f>
        <v>General Service Tariff Bill Impacts-Battery Energy Storage Systems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 t="str">
        <f>C3</f>
        <v>General Service Tariff Bill Impacts-Battery Energy Storage Systems</v>
      </c>
      <c r="AG3" s="66"/>
      <c r="AH3" s="66"/>
      <c r="AI3" s="66"/>
      <c r="AJ3" s="66"/>
      <c r="AK3" s="66"/>
      <c r="AL3" s="66"/>
      <c r="AM3" s="66"/>
    </row>
    <row r="4" spans="2:39" ht="30.6" customHeight="1" x14ac:dyDescent="0.3">
      <c r="B4" s="66"/>
      <c r="C4" s="70"/>
      <c r="D4" s="71"/>
      <c r="E4" s="251" t="s">
        <v>103</v>
      </c>
      <c r="F4" s="252"/>
      <c r="G4" s="252"/>
      <c r="H4" s="252"/>
      <c r="I4" s="252"/>
      <c r="J4" s="252"/>
      <c r="K4" s="74"/>
      <c r="L4" s="112"/>
      <c r="M4" s="74"/>
      <c r="N4" s="251" t="s">
        <v>113</v>
      </c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75"/>
      <c r="AD4" s="179"/>
      <c r="AE4" s="250" t="s">
        <v>152</v>
      </c>
      <c r="AF4" s="250"/>
      <c r="AG4" s="250"/>
      <c r="AH4" s="250"/>
      <c r="AI4" s="250"/>
      <c r="AJ4" s="250"/>
      <c r="AK4" s="250"/>
      <c r="AL4" s="250"/>
      <c r="AM4" s="66"/>
    </row>
    <row r="5" spans="2:3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3" t="s">
        <v>151</v>
      </c>
      <c r="S5" s="253"/>
      <c r="T5" s="253"/>
      <c r="U5" s="73"/>
      <c r="V5" s="254" t="s">
        <v>99</v>
      </c>
      <c r="W5" s="254"/>
      <c r="X5" s="254"/>
      <c r="Y5" s="73"/>
      <c r="Z5" s="254" t="s">
        <v>95</v>
      </c>
      <c r="AA5" s="254"/>
      <c r="AB5" s="254"/>
      <c r="AC5" s="75"/>
      <c r="AD5" s="178"/>
      <c r="AE5" s="249" t="s">
        <v>101</v>
      </c>
      <c r="AF5" s="249"/>
      <c r="AG5" s="249"/>
      <c r="AH5" s="249"/>
      <c r="AI5" s="249" t="s">
        <v>102</v>
      </c>
      <c r="AJ5" s="249"/>
      <c r="AK5" s="249"/>
      <c r="AL5" s="249"/>
      <c r="AM5" s="66"/>
    </row>
    <row r="6" spans="2:3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157</v>
      </c>
      <c r="AI6" s="176">
        <v>2024</v>
      </c>
      <c r="AJ6" s="176">
        <v>2025</v>
      </c>
      <c r="AK6" s="176">
        <v>2026</v>
      </c>
      <c r="AL6" s="176" t="s">
        <v>157</v>
      </c>
      <c r="AM6" s="66"/>
    </row>
    <row r="7" spans="2:39" x14ac:dyDescent="0.3">
      <c r="B7" s="66"/>
      <c r="C7" s="77">
        <v>15</v>
      </c>
      <c r="D7" s="78">
        <v>0.17784392085033168</v>
      </c>
      <c r="E7" s="67">
        <f>IF($C7&lt;=Tariffs!$E$29,Tariffs!$G$29,IF(AND($C7&gt;Tariffs!$E$29,$C7&lt;=Tariffs!$E$30),Tariffs!$G$30,Tariffs!$G$31))</f>
        <v>10</v>
      </c>
      <c r="F7" s="67">
        <f>IF($C7&gt;Tariffs!$E$31,(Tariffs!$F$29*Tariffs!$H$29)+(Tariffs!$F$30*Tariffs!$H$30)+(Tariffs!$F$31*Tariffs!$H$31)+(($C7-Tariffs!$E$31)*Tariffs!$H$32),IF(AND($C7&gt;Tariffs!$E$29,$C7&lt;=Tariffs!$E$30),(Tariffs!$F$29*Tariffs!$H$29)+(($C7-Tariffs!$E$29)*Tariffs!$H$30),IF(AND($C7&gt;Tariffs!$E$30,$C7&lt;=Tariffs!$E$31),(Tariffs!$F$29*Tariffs!$H$29)+(Tariffs!$F$30*Tariffs!$H$30)+(($C7-Tariffs!$E$30)*Tariffs!$H$31),$C7*Tariffs!$H$29)))</f>
        <v>2.91</v>
      </c>
      <c r="G7" s="80">
        <f>F7+E7</f>
        <v>12.91</v>
      </c>
      <c r="H7" s="67">
        <f>$C7*Tariffs!$J$8</f>
        <v>6.7663651873343422</v>
      </c>
      <c r="I7" s="67">
        <f>H7+G7</f>
        <v>19.676365187334341</v>
      </c>
      <c r="J7" s="67">
        <f>I7*Tariffs!$I$8</f>
        <v>3.4433639077835094</v>
      </c>
      <c r="K7" s="81">
        <f>J7+I7</f>
        <v>23.119729095117851</v>
      </c>
      <c r="L7" s="81"/>
      <c r="M7" s="67">
        <f>E7</f>
        <v>10</v>
      </c>
      <c r="N7" s="67">
        <f>F7</f>
        <v>2.91</v>
      </c>
      <c r="O7" s="80">
        <f>N7+M7</f>
        <v>12.91</v>
      </c>
      <c r="P7" s="67">
        <f>$C7*Tariffs!$J$8</f>
        <v>6.7663651873343422</v>
      </c>
      <c r="Q7" s="67"/>
      <c r="R7" s="67">
        <f>$C7*Tariffs!K$28</f>
        <v>0.35247000000000001</v>
      </c>
      <c r="S7" s="67">
        <f>$C7*Tariffs!L$28</f>
        <v>0.73341000000000001</v>
      </c>
      <c r="T7" s="67">
        <f>$C7*Tariffs!M$28</f>
        <v>0.74467499999999998</v>
      </c>
      <c r="U7" s="67"/>
      <c r="V7" s="67">
        <f>$P7+$O7+R7</f>
        <v>20.028835187334341</v>
      </c>
      <c r="W7" s="67">
        <f>$P7+$O7+S7</f>
        <v>20.40977518733434</v>
      </c>
      <c r="X7" s="67">
        <f>$P7+$O7+T7</f>
        <v>20.421040187334341</v>
      </c>
      <c r="Y7" s="67"/>
      <c r="Z7" s="67">
        <f>V7*(1+Tariffs!$I$8)</f>
        <v>23.533881345117852</v>
      </c>
      <c r="AA7" s="67">
        <f>W7*(1+Tariffs!$I$8)</f>
        <v>23.981485845117849</v>
      </c>
      <c r="AB7" s="67">
        <f>X7*(1+Tariffs!$I$8)</f>
        <v>23.99472222011785</v>
      </c>
      <c r="AC7" s="82"/>
      <c r="AD7" s="83">
        <f t="shared" ref="AD7:AD28" si="0">C7</f>
        <v>15</v>
      </c>
      <c r="AE7" s="67">
        <f>Z7-$K7</f>
        <v>0.41415225000000078</v>
      </c>
      <c r="AF7" s="67">
        <f t="shared" ref="AF7:AG22" si="1">AA7-$K7</f>
        <v>0.86175674999999785</v>
      </c>
      <c r="AG7" s="67">
        <f t="shared" si="1"/>
        <v>0.87499312499999959</v>
      </c>
      <c r="AH7" s="80">
        <f>SUM(AE7:AG7)</f>
        <v>2.1509021249999982</v>
      </c>
      <c r="AI7" s="172">
        <f t="shared" ref="AI7:AI28" si="2">Z7/$K7-1</f>
        <v>1.7913369499102716E-2</v>
      </c>
      <c r="AJ7" s="172">
        <f t="shared" ref="AJ7:AJ28" si="3">AA7/$K7-1</f>
        <v>3.7273652578480032E-2</v>
      </c>
      <c r="AK7" s="172">
        <f t="shared" ref="AK7:AK28" si="4">AB7/$K7-1</f>
        <v>3.7846166856028152E-2</v>
      </c>
      <c r="AL7" s="180">
        <f>SUM(AI7:AK7)</f>
        <v>9.30331889336109E-2</v>
      </c>
      <c r="AM7" s="66"/>
    </row>
    <row r="8" spans="2:39" x14ac:dyDescent="0.3">
      <c r="B8" s="66"/>
      <c r="C8" s="84">
        <v>50</v>
      </c>
      <c r="D8" s="85">
        <v>0.26108012100019429</v>
      </c>
      <c r="E8" s="88">
        <f>IF($C8&lt;=Tariffs!$E$29,Tariffs!$G$29,IF(AND($C8&gt;Tariffs!$E$29,$C8&lt;=Tariffs!$E$30),Tariffs!$G$30,Tariffs!$G$31))</f>
        <v>10</v>
      </c>
      <c r="F8" s="88">
        <f>IF($C8&gt;Tariffs!$E$31,(Tariffs!$F$29*Tariffs!$H$29)+(Tariffs!$F$30*Tariffs!$H$30)+(Tariffs!$F$31*Tariffs!$H$31)+(($C8-Tariffs!$E$31)*Tariffs!$H$32),IF(AND($C8&gt;Tariffs!$E$29,$C8&lt;=Tariffs!$E$30),(Tariffs!$F$29*Tariffs!$H$29)+(($C8-Tariffs!$E$29)*Tariffs!$H$30),IF(AND($C8&gt;Tariffs!$E$30,$C8&lt;=Tariffs!$E$31),(Tariffs!$F$29*Tariffs!$H$29)+(Tariffs!$F$30*Tariffs!$H$30)+(($C8-Tariffs!$E$30)*Tariffs!$H$31),$C8*Tariffs!$H$29)))</f>
        <v>9.7000000000000011</v>
      </c>
      <c r="G8" s="87">
        <f t="shared" ref="G8:G28" si="5">F8+E8</f>
        <v>19.700000000000003</v>
      </c>
      <c r="H8" s="88">
        <f>$C8*Tariffs!$J$8</f>
        <v>22.55455062444781</v>
      </c>
      <c r="I8" s="88">
        <f t="shared" ref="I8:I28" si="6">H8+G8</f>
        <v>42.254550624447816</v>
      </c>
      <c r="J8" s="88">
        <f>I8*Tariffs!$I$8</f>
        <v>7.3945463592783671</v>
      </c>
      <c r="K8" s="89">
        <f t="shared" ref="K8:K28" si="7">J8+I8</f>
        <v>49.649096983726182</v>
      </c>
      <c r="L8" s="81"/>
      <c r="M8" s="88">
        <f t="shared" ref="M8:M28" si="8">E8</f>
        <v>10</v>
      </c>
      <c r="N8" s="88">
        <f t="shared" ref="N8:N28" si="9">F8</f>
        <v>9.7000000000000011</v>
      </c>
      <c r="O8" s="87">
        <f t="shared" ref="O8:O28" si="10">N8+M8</f>
        <v>19.700000000000003</v>
      </c>
      <c r="P8" s="88">
        <f>$C8*Tariffs!$J$8</f>
        <v>22.55455062444781</v>
      </c>
      <c r="Q8" s="67"/>
      <c r="R8" s="88">
        <f>$C8*Tariffs!K$28</f>
        <v>1.1749000000000001</v>
      </c>
      <c r="S8" s="88">
        <f>$C8*Tariffs!L$28</f>
        <v>2.4447000000000001</v>
      </c>
      <c r="T8" s="88">
        <f>$C8*Tariffs!M$28</f>
        <v>2.4822500000000001</v>
      </c>
      <c r="U8" s="67"/>
      <c r="V8" s="88">
        <f t="shared" ref="V8:X28" si="11">$P8+$O8+R8</f>
        <v>43.429450624447817</v>
      </c>
      <c r="W8" s="88">
        <f t="shared" si="11"/>
        <v>44.699250624447814</v>
      </c>
      <c r="X8" s="88">
        <f t="shared" si="11"/>
        <v>44.736800624447817</v>
      </c>
      <c r="Y8" s="67"/>
      <c r="Z8" s="88">
        <f>V8*(1+Tariffs!$I$8)</f>
        <v>51.029604483726189</v>
      </c>
      <c r="AA8" s="88">
        <f>W8*(1+Tariffs!$I$8)</f>
        <v>52.521619483726184</v>
      </c>
      <c r="AB8" s="88">
        <f>X8*(1+Tariffs!$I$8)</f>
        <v>52.565740733726187</v>
      </c>
      <c r="AC8" s="82"/>
      <c r="AD8" s="90">
        <f t="shared" si="0"/>
        <v>50</v>
      </c>
      <c r="AE8" s="88">
        <f t="shared" ref="AE8:AG28" si="12">Z8-$K8</f>
        <v>1.3805075000000073</v>
      </c>
      <c r="AF8" s="88">
        <f t="shared" si="1"/>
        <v>2.8725225000000023</v>
      </c>
      <c r="AG8" s="88">
        <f t="shared" si="1"/>
        <v>2.9166437500000058</v>
      </c>
      <c r="AH8" s="87">
        <f t="shared" ref="AH8:AH28" si="13">SUM(AE8:AG8)</f>
        <v>7.1696737500000154</v>
      </c>
      <c r="AI8" s="173">
        <f t="shared" si="2"/>
        <v>2.7805289196951577E-2</v>
      </c>
      <c r="AJ8" s="173">
        <f t="shared" si="3"/>
        <v>5.7856490339422528E-2</v>
      </c>
      <c r="AK8" s="173">
        <f t="shared" si="4"/>
        <v>5.8745152020710734E-2</v>
      </c>
      <c r="AL8" s="181">
        <f t="shared" ref="AL8:AL28" si="14">SUM(AI8:AK8)</f>
        <v>0.14440693155708484</v>
      </c>
      <c r="AM8" s="66"/>
    </row>
    <row r="9" spans="2:39" x14ac:dyDescent="0.3">
      <c r="B9" s="66"/>
      <c r="C9" s="77">
        <v>100</v>
      </c>
      <c r="D9" s="78">
        <v>0.37430272250437102</v>
      </c>
      <c r="E9" s="67">
        <f>IF($C9&lt;=Tariffs!$E$29,Tariffs!$G$29,IF(AND($C9&gt;Tariffs!$E$29,$C9&lt;=Tariffs!$E$30),Tariffs!$G$30,Tariffs!$G$31))</f>
        <v>10</v>
      </c>
      <c r="F9" s="67">
        <f>IF($C9&gt;Tariffs!$E$31,(Tariffs!$F$29*Tariffs!$H$29)+(Tariffs!$F$30*Tariffs!$H$30)+(Tariffs!$F$31*Tariffs!$H$31)+(($C9-Tariffs!$E$31)*Tariffs!$H$32),IF(AND($C9&gt;Tariffs!$E$29,$C9&lt;=Tariffs!$E$30),(Tariffs!$F$29*Tariffs!$H$29)+(($C9-Tariffs!$E$29)*Tariffs!$H$30),IF(AND($C9&gt;Tariffs!$E$30,$C9&lt;=Tariffs!$E$31),(Tariffs!$F$29*Tariffs!$H$29)+(Tariffs!$F$30*Tariffs!$H$30)+(($C9-Tariffs!$E$30)*Tariffs!$H$31),$C9*Tariffs!$H$29)))</f>
        <v>19.400000000000002</v>
      </c>
      <c r="G9" s="80">
        <f t="shared" si="5"/>
        <v>29.400000000000002</v>
      </c>
      <c r="H9" s="67">
        <f>$C9*Tariffs!$J$8</f>
        <v>45.10910124889562</v>
      </c>
      <c r="I9" s="67">
        <f t="shared" si="6"/>
        <v>74.509101248895618</v>
      </c>
      <c r="J9" s="67">
        <f>I9*Tariffs!$I$8</f>
        <v>13.039092718556732</v>
      </c>
      <c r="K9" s="81">
        <f t="shared" si="7"/>
        <v>87.548193967452349</v>
      </c>
      <c r="L9" s="81"/>
      <c r="M9" s="67">
        <f t="shared" si="8"/>
        <v>10</v>
      </c>
      <c r="N9" s="67">
        <f t="shared" si="9"/>
        <v>19.400000000000002</v>
      </c>
      <c r="O9" s="80">
        <f t="shared" si="10"/>
        <v>29.400000000000002</v>
      </c>
      <c r="P9" s="67">
        <f>$C9*Tariffs!$J$8</f>
        <v>45.10910124889562</v>
      </c>
      <c r="Q9" s="67"/>
      <c r="R9" s="67">
        <f>$C9*Tariffs!K$28</f>
        <v>2.3498000000000001</v>
      </c>
      <c r="S9" s="67">
        <f>$C9*Tariffs!L$28</f>
        <v>4.8894000000000002</v>
      </c>
      <c r="T9" s="67">
        <f>$C9*Tariffs!M$28</f>
        <v>4.9645000000000001</v>
      </c>
      <c r="U9" s="67"/>
      <c r="V9" s="67">
        <f t="shared" si="11"/>
        <v>76.85890124889562</v>
      </c>
      <c r="W9" s="67">
        <f t="shared" si="11"/>
        <v>79.398501248895613</v>
      </c>
      <c r="X9" s="67">
        <f t="shared" si="11"/>
        <v>79.473601248895619</v>
      </c>
      <c r="Y9" s="67"/>
      <c r="Z9" s="67">
        <f>V9*(1+Tariffs!$I$8)</f>
        <v>90.309208967452363</v>
      </c>
      <c r="AA9" s="67">
        <f>W9*(1+Tariffs!$I$8)</f>
        <v>93.293238967452353</v>
      </c>
      <c r="AB9" s="67">
        <f>X9*(1+Tariffs!$I$8)</f>
        <v>93.38148146745236</v>
      </c>
      <c r="AC9" s="82"/>
      <c r="AD9" s="83">
        <f t="shared" si="0"/>
        <v>100</v>
      </c>
      <c r="AE9" s="67">
        <f t="shared" si="12"/>
        <v>2.7610150000000147</v>
      </c>
      <c r="AF9" s="67">
        <f t="shared" si="1"/>
        <v>5.7450450000000046</v>
      </c>
      <c r="AG9" s="67">
        <f t="shared" si="1"/>
        <v>5.8332875000000115</v>
      </c>
      <c r="AH9" s="80">
        <f t="shared" si="13"/>
        <v>14.339347500000031</v>
      </c>
      <c r="AI9" s="172">
        <f t="shared" si="2"/>
        <v>3.1537086887554411E-2</v>
      </c>
      <c r="AJ9" s="172">
        <f t="shared" si="3"/>
        <v>6.5621513587542868E-2</v>
      </c>
      <c r="AK9" s="172">
        <f t="shared" si="4"/>
        <v>6.6629444145571259E-2</v>
      </c>
      <c r="AL9" s="180">
        <f t="shared" si="14"/>
        <v>0.16378804462066854</v>
      </c>
      <c r="AM9" s="66"/>
    </row>
    <row r="10" spans="2:39" x14ac:dyDescent="0.3">
      <c r="B10" s="66"/>
      <c r="C10" s="84">
        <v>150</v>
      </c>
      <c r="D10" s="85">
        <v>0.47113063025559909</v>
      </c>
      <c r="E10" s="88">
        <f>IF($C10&lt;=Tariffs!$E$29,Tariffs!$G$29,IF(AND($C10&gt;Tariffs!$E$29,$C10&lt;=Tariffs!$E$30),Tariffs!$G$30,Tariffs!$G$31))</f>
        <v>10</v>
      </c>
      <c r="F10" s="88">
        <f>IF($C10&gt;Tariffs!$E$31,(Tariffs!$F$29*Tariffs!$H$29)+(Tariffs!$F$30*Tariffs!$H$30)+(Tariffs!$F$31*Tariffs!$H$31)+(($C10-Tariffs!$E$31)*Tariffs!$H$32),IF(AND($C10&gt;Tariffs!$E$29,$C10&lt;=Tariffs!$E$30),(Tariffs!$F$29*Tariffs!$H$29)+(($C10-Tariffs!$E$29)*Tariffs!$H$30),IF(AND($C10&gt;Tariffs!$E$30,$C10&lt;=Tariffs!$E$31),(Tariffs!$F$29*Tariffs!$H$29)+(Tariffs!$F$30*Tariffs!$H$30)+(($C10-Tariffs!$E$30)*Tariffs!$H$31),$C10*Tariffs!$H$29)))</f>
        <v>29.1</v>
      </c>
      <c r="G10" s="87">
        <f t="shared" si="5"/>
        <v>39.1</v>
      </c>
      <c r="H10" s="88">
        <f>$C10*Tariffs!$J$8</f>
        <v>67.663651873343426</v>
      </c>
      <c r="I10" s="88">
        <f t="shared" si="6"/>
        <v>106.76365187334343</v>
      </c>
      <c r="J10" s="88">
        <f>I10*Tariffs!$I$8</f>
        <v>18.6836390778351</v>
      </c>
      <c r="K10" s="89">
        <f t="shared" si="7"/>
        <v>125.44729095117853</v>
      </c>
      <c r="L10" s="81"/>
      <c r="M10" s="88">
        <f t="shared" si="8"/>
        <v>10</v>
      </c>
      <c r="N10" s="88">
        <f t="shared" si="9"/>
        <v>29.1</v>
      </c>
      <c r="O10" s="87">
        <f t="shared" si="10"/>
        <v>39.1</v>
      </c>
      <c r="P10" s="88">
        <f>$C10*Tariffs!$J$8</f>
        <v>67.663651873343426</v>
      </c>
      <c r="Q10" s="67"/>
      <c r="R10" s="88">
        <f>$C10*Tariffs!K$28</f>
        <v>3.5247000000000002</v>
      </c>
      <c r="S10" s="88">
        <f>$C10*Tariffs!L$28</f>
        <v>7.3341000000000003</v>
      </c>
      <c r="T10" s="88">
        <f>$C10*Tariffs!M$28</f>
        <v>7.4467500000000006</v>
      </c>
      <c r="U10" s="67"/>
      <c r="V10" s="88">
        <f t="shared" si="11"/>
        <v>110.28835187334343</v>
      </c>
      <c r="W10" s="88">
        <f t="shared" si="11"/>
        <v>114.09775187334344</v>
      </c>
      <c r="X10" s="88">
        <f t="shared" si="11"/>
        <v>114.21040187334343</v>
      </c>
      <c r="Y10" s="67"/>
      <c r="Z10" s="88">
        <f>V10*(1+Tariffs!$I$8)</f>
        <v>129.58881345117854</v>
      </c>
      <c r="AA10" s="88">
        <f>W10*(1+Tariffs!$I$8)</f>
        <v>134.06485845117854</v>
      </c>
      <c r="AB10" s="88">
        <f>X10*(1+Tariffs!$I$8)</f>
        <v>134.19722220117853</v>
      </c>
      <c r="AC10" s="82"/>
      <c r="AD10" s="90">
        <f t="shared" si="0"/>
        <v>150</v>
      </c>
      <c r="AE10" s="88">
        <f t="shared" si="12"/>
        <v>4.1415225000000078</v>
      </c>
      <c r="AF10" s="88">
        <f t="shared" si="1"/>
        <v>8.6175675000000069</v>
      </c>
      <c r="AG10" s="88">
        <f t="shared" si="1"/>
        <v>8.749931250000003</v>
      </c>
      <c r="AH10" s="87">
        <f t="shared" si="13"/>
        <v>21.509021250000018</v>
      </c>
      <c r="AI10" s="173">
        <f t="shared" si="2"/>
        <v>3.3014044931522601E-2</v>
      </c>
      <c r="AJ10" s="173">
        <f t="shared" si="3"/>
        <v>6.8694727759037733E-2</v>
      </c>
      <c r="AK10" s="173">
        <f t="shared" si="4"/>
        <v>6.9749862142541641E-2</v>
      </c>
      <c r="AL10" s="181">
        <f t="shared" si="14"/>
        <v>0.17145863483310197</v>
      </c>
      <c r="AM10" s="66"/>
    </row>
    <row r="11" spans="2:39" x14ac:dyDescent="0.3">
      <c r="B11" s="66"/>
      <c r="C11" s="77">
        <v>200</v>
      </c>
      <c r="D11" s="78">
        <v>0.54969749951433411</v>
      </c>
      <c r="E11" s="67">
        <f>IF($C11&lt;=Tariffs!$E$29,Tariffs!$G$29,IF(AND($C11&gt;Tariffs!$E$29,$C11&lt;=Tariffs!$E$30),Tariffs!$G$30,Tariffs!$G$31))</f>
        <v>13</v>
      </c>
      <c r="F11" s="67">
        <f>IF($C11&gt;Tariffs!$E$31,(Tariffs!$F$29*Tariffs!$H$29)+(Tariffs!$F$30*Tariffs!$H$30)+(Tariffs!$F$31*Tariffs!$H$31)+(($C11-Tariffs!$E$31)*Tariffs!$H$32),IF(AND($C11&gt;Tariffs!$E$29,$C11&lt;=Tariffs!$E$30),(Tariffs!$F$29*Tariffs!$H$29)+(($C11-Tariffs!$E$29)*Tariffs!$H$30),IF(AND($C11&gt;Tariffs!$E$30,$C11&lt;=Tariffs!$E$31),(Tariffs!$F$29*Tariffs!$H$29)+(Tariffs!$F$30*Tariffs!$H$30)+(($C11-Tariffs!$E$30)*Tariffs!$H$31),$C11*Tariffs!$H$29)))</f>
        <v>40.950000000000003</v>
      </c>
      <c r="G11" s="80">
        <f t="shared" si="5"/>
        <v>53.95</v>
      </c>
      <c r="H11" s="67">
        <f>$C11*Tariffs!$J$8</f>
        <v>90.218202497791239</v>
      </c>
      <c r="I11" s="67">
        <f t="shared" si="6"/>
        <v>144.16820249779124</v>
      </c>
      <c r="J11" s="67">
        <f>I11*Tariffs!$I$8</f>
        <v>25.229435437113466</v>
      </c>
      <c r="K11" s="81">
        <f t="shared" si="7"/>
        <v>169.39763793490471</v>
      </c>
      <c r="L11" s="81"/>
      <c r="M11" s="67">
        <f t="shared" si="8"/>
        <v>13</v>
      </c>
      <c r="N11" s="67">
        <f t="shared" si="9"/>
        <v>40.950000000000003</v>
      </c>
      <c r="O11" s="80">
        <f t="shared" si="10"/>
        <v>53.95</v>
      </c>
      <c r="P11" s="67">
        <f>$C11*Tariffs!$J$8</f>
        <v>90.218202497791239</v>
      </c>
      <c r="Q11" s="67"/>
      <c r="R11" s="67">
        <f>$C11*Tariffs!K$28</f>
        <v>4.6996000000000002</v>
      </c>
      <c r="S11" s="67">
        <f>$C11*Tariffs!L$28</f>
        <v>9.7788000000000004</v>
      </c>
      <c r="T11" s="67">
        <f>$C11*Tariffs!M$28</f>
        <v>9.9290000000000003</v>
      </c>
      <c r="U11" s="67"/>
      <c r="V11" s="67">
        <f t="shared" si="11"/>
        <v>148.86780249779125</v>
      </c>
      <c r="W11" s="67">
        <f t="shared" si="11"/>
        <v>153.94700249779123</v>
      </c>
      <c r="X11" s="67">
        <f t="shared" si="11"/>
        <v>154.09720249779124</v>
      </c>
      <c r="Y11" s="67"/>
      <c r="Z11" s="67">
        <f>V11*(1+Tariffs!$I$8)</f>
        <v>174.91966793490471</v>
      </c>
      <c r="AA11" s="67">
        <f>W11*(1+Tariffs!$I$8)</f>
        <v>180.88772793490472</v>
      </c>
      <c r="AB11" s="67">
        <f>X11*(1+Tariffs!$I$8)</f>
        <v>181.06421293490473</v>
      </c>
      <c r="AC11" s="82"/>
      <c r="AD11" s="83">
        <f t="shared" si="0"/>
        <v>200</v>
      </c>
      <c r="AE11" s="67">
        <f t="shared" si="12"/>
        <v>5.5220300000000009</v>
      </c>
      <c r="AF11" s="67">
        <f t="shared" si="1"/>
        <v>11.490090000000009</v>
      </c>
      <c r="AG11" s="67">
        <f t="shared" si="1"/>
        <v>11.666575000000023</v>
      </c>
      <c r="AH11" s="80">
        <f t="shared" si="13"/>
        <v>28.678695000000033</v>
      </c>
      <c r="AI11" s="172">
        <f t="shared" si="2"/>
        <v>3.2598034230689743E-2</v>
      </c>
      <c r="AJ11" s="172">
        <f t="shared" si="3"/>
        <v>6.7829103995035389E-2</v>
      </c>
      <c r="AK11" s="172">
        <f t="shared" si="4"/>
        <v>6.8870942607140773E-2</v>
      </c>
      <c r="AL11" s="180">
        <f t="shared" si="14"/>
        <v>0.1692980808328659</v>
      </c>
      <c r="AM11" s="66"/>
    </row>
    <row r="12" spans="2:39" x14ac:dyDescent="0.3">
      <c r="B12" s="66"/>
      <c r="C12" s="91">
        <v>250</v>
      </c>
      <c r="D12" s="92">
        <v>0.61333361085671467</v>
      </c>
      <c r="E12" s="95">
        <f>IF($C12&lt;=Tariffs!$E$29,Tariffs!$G$29,IF(AND($C12&gt;Tariffs!$E$29,$C12&lt;=Tariffs!$E$30),Tariffs!$G$30,Tariffs!$G$31))</f>
        <v>13</v>
      </c>
      <c r="F12" s="95">
        <f>IF($C12&gt;Tariffs!$E$31,(Tariffs!$F$29*Tariffs!$H$29)+(Tariffs!$F$30*Tariffs!$H$30)+(Tariffs!$F$31*Tariffs!$H$31)+(($C12-Tariffs!$E$31)*Tariffs!$H$32),IF(AND($C12&gt;Tariffs!$E$29,$C12&lt;=Tariffs!$E$30),(Tariffs!$F$29*Tariffs!$H$29)+(($C12-Tariffs!$E$29)*Tariffs!$H$30),IF(AND($C12&gt;Tariffs!$E$30,$C12&lt;=Tariffs!$E$31),(Tariffs!$F$29*Tariffs!$H$29)+(Tariffs!$F$30*Tariffs!$H$30)+(($C12-Tariffs!$E$30)*Tariffs!$H$31),$C12*Tariffs!$H$29)))</f>
        <v>52.8</v>
      </c>
      <c r="G12" s="94">
        <f t="shared" si="5"/>
        <v>65.8</v>
      </c>
      <c r="H12" s="95">
        <f>$C12*Tariffs!$J$8</f>
        <v>112.77275312223904</v>
      </c>
      <c r="I12" s="95">
        <f t="shared" si="6"/>
        <v>178.57275312223902</v>
      </c>
      <c r="J12" s="95">
        <f>I12*Tariffs!$I$8</f>
        <v>31.250231796391827</v>
      </c>
      <c r="K12" s="96">
        <f t="shared" si="7"/>
        <v>209.82298491863085</v>
      </c>
      <c r="L12" s="113"/>
      <c r="M12" s="95">
        <f t="shared" si="8"/>
        <v>13</v>
      </c>
      <c r="N12" s="95">
        <f t="shared" si="9"/>
        <v>52.8</v>
      </c>
      <c r="O12" s="94">
        <f t="shared" si="10"/>
        <v>65.8</v>
      </c>
      <c r="P12" s="95">
        <f>$C12*Tariffs!$J$8</f>
        <v>112.77275312223904</v>
      </c>
      <c r="Q12" s="171"/>
      <c r="R12" s="95">
        <f>$C12*Tariffs!K$28</f>
        <v>5.8745000000000003</v>
      </c>
      <c r="S12" s="95">
        <f>$C12*Tariffs!L$28</f>
        <v>12.2235</v>
      </c>
      <c r="T12" s="95">
        <f>$C12*Tariffs!M$28</f>
        <v>12.411250000000001</v>
      </c>
      <c r="U12" s="171"/>
      <c r="V12" s="95">
        <f t="shared" si="11"/>
        <v>184.44725312223903</v>
      </c>
      <c r="W12" s="95">
        <f t="shared" si="11"/>
        <v>190.79625312223902</v>
      </c>
      <c r="X12" s="95">
        <f t="shared" si="11"/>
        <v>190.98400312223902</v>
      </c>
      <c r="Y12" s="67"/>
      <c r="Z12" s="95">
        <f>V12*(1+Tariffs!$I$8)</f>
        <v>216.72552241863087</v>
      </c>
      <c r="AA12" s="95">
        <f>W12*(1+Tariffs!$I$8)</f>
        <v>224.18559741863086</v>
      </c>
      <c r="AB12" s="95">
        <f>X12*(1+Tariffs!$I$8)</f>
        <v>224.40620366863087</v>
      </c>
      <c r="AC12" s="82"/>
      <c r="AD12" s="175">
        <f t="shared" si="0"/>
        <v>250</v>
      </c>
      <c r="AE12" s="95">
        <f t="shared" si="12"/>
        <v>6.9025375000000224</v>
      </c>
      <c r="AF12" s="95">
        <f t="shared" si="1"/>
        <v>14.362612500000012</v>
      </c>
      <c r="AG12" s="95">
        <f t="shared" si="1"/>
        <v>14.583218750000015</v>
      </c>
      <c r="AH12" s="94">
        <f t="shared" si="13"/>
        <v>35.848368750000049</v>
      </c>
      <c r="AI12" s="174">
        <f t="shared" si="2"/>
        <v>3.2896955987337773E-2</v>
      </c>
      <c r="AJ12" s="174">
        <f t="shared" si="3"/>
        <v>6.8451092265081614E-2</v>
      </c>
      <c r="AK12" s="174">
        <f t="shared" si="4"/>
        <v>6.9502484466396064E-2</v>
      </c>
      <c r="AL12" s="182">
        <f t="shared" si="14"/>
        <v>0.17085053271881545</v>
      </c>
      <c r="AM12" s="66"/>
    </row>
    <row r="13" spans="2:39" x14ac:dyDescent="0.3">
      <c r="B13" s="66"/>
      <c r="C13" s="77">
        <v>300</v>
      </c>
      <c r="D13" s="78">
        <v>0.66466156023644996</v>
      </c>
      <c r="E13" s="67">
        <f>IF($C13&lt;=Tariffs!$E$29,Tariffs!$G$29,IF(AND($C13&gt;Tariffs!$E$29,$C13&lt;=Tariffs!$E$30),Tariffs!$G$30,Tariffs!$G$31))</f>
        <v>13</v>
      </c>
      <c r="F13" s="67">
        <f>IF($C13&gt;Tariffs!$E$31,(Tariffs!$F$29*Tariffs!$H$29)+(Tariffs!$F$30*Tariffs!$H$30)+(Tariffs!$F$31*Tariffs!$H$31)+(($C13-Tariffs!$E$31)*Tariffs!$H$32),IF(AND($C13&gt;Tariffs!$E$29,$C13&lt;=Tariffs!$E$30),(Tariffs!$F$29*Tariffs!$H$29)+(($C13-Tariffs!$E$29)*Tariffs!$H$30),IF(AND($C13&gt;Tariffs!$E$30,$C13&lt;=Tariffs!$E$31),(Tariffs!$F$29*Tariffs!$H$29)+(Tariffs!$F$30*Tariffs!$H$30)+(($C13-Tariffs!$E$30)*Tariffs!$H$31),$C13*Tariffs!$H$29)))</f>
        <v>64.650000000000006</v>
      </c>
      <c r="G13" s="80">
        <f t="shared" si="5"/>
        <v>77.650000000000006</v>
      </c>
      <c r="H13" s="67">
        <f>$C13*Tariffs!$J$8</f>
        <v>135.32730374668685</v>
      </c>
      <c r="I13" s="67">
        <f t="shared" si="6"/>
        <v>212.97730374668686</v>
      </c>
      <c r="J13" s="67">
        <f>I13*Tariffs!$I$8</f>
        <v>37.271028155670194</v>
      </c>
      <c r="K13" s="81">
        <f t="shared" si="7"/>
        <v>250.24833190235705</v>
      </c>
      <c r="L13" s="81"/>
      <c r="M13" s="67">
        <f t="shared" si="8"/>
        <v>13</v>
      </c>
      <c r="N13" s="67">
        <f t="shared" si="9"/>
        <v>64.650000000000006</v>
      </c>
      <c r="O13" s="80">
        <f t="shared" si="10"/>
        <v>77.650000000000006</v>
      </c>
      <c r="P13" s="67">
        <f>$C13*Tariffs!$J$8</f>
        <v>135.32730374668685</v>
      </c>
      <c r="Q13" s="67"/>
      <c r="R13" s="67">
        <f>$C13*Tariffs!K$28</f>
        <v>7.0494000000000003</v>
      </c>
      <c r="S13" s="67">
        <f>$C13*Tariffs!L$28</f>
        <v>14.668200000000001</v>
      </c>
      <c r="T13" s="67">
        <f>$C13*Tariffs!M$28</f>
        <v>14.893500000000001</v>
      </c>
      <c r="U13" s="67"/>
      <c r="V13" s="67">
        <f t="shared" si="11"/>
        <v>220.02670374668685</v>
      </c>
      <c r="W13" s="67">
        <f t="shared" si="11"/>
        <v>227.64550374668687</v>
      </c>
      <c r="X13" s="67">
        <f t="shared" si="11"/>
        <v>227.87080374668685</v>
      </c>
      <c r="Y13" s="67"/>
      <c r="Z13" s="67">
        <f>V13*(1+Tariffs!$I$8)</f>
        <v>258.53137690235707</v>
      </c>
      <c r="AA13" s="67">
        <f>W13*(1+Tariffs!$I$8)</f>
        <v>267.48346690235707</v>
      </c>
      <c r="AB13" s="67">
        <f>X13*(1+Tariffs!$I$8)</f>
        <v>267.74819440235706</v>
      </c>
      <c r="AC13" s="82"/>
      <c r="AD13" s="83">
        <f t="shared" si="0"/>
        <v>300</v>
      </c>
      <c r="AE13" s="67">
        <f t="shared" si="12"/>
        <v>8.2830450000000155</v>
      </c>
      <c r="AF13" s="67">
        <f t="shared" si="1"/>
        <v>17.235135000000014</v>
      </c>
      <c r="AG13" s="67">
        <f t="shared" si="1"/>
        <v>17.499862500000006</v>
      </c>
      <c r="AH13" s="80">
        <f t="shared" si="13"/>
        <v>43.018042500000035</v>
      </c>
      <c r="AI13" s="172">
        <f t="shared" si="2"/>
        <v>3.3099301549917692E-2</v>
      </c>
      <c r="AJ13" s="172">
        <f t="shared" si="3"/>
        <v>6.8872127414319362E-2</v>
      </c>
      <c r="AK13" s="172">
        <f t="shared" si="4"/>
        <v>6.9929986613569861E-2</v>
      </c>
      <c r="AL13" s="180">
        <f t="shared" si="14"/>
        <v>0.17190141557780692</v>
      </c>
      <c r="AM13" s="66"/>
    </row>
    <row r="14" spans="2:39" x14ac:dyDescent="0.3">
      <c r="B14" s="66"/>
      <c r="C14" s="91">
        <v>350</v>
      </c>
      <c r="D14" s="92">
        <v>0.70628312935364812</v>
      </c>
      <c r="E14" s="95">
        <f>IF($C14&lt;=Tariffs!$E$29,Tariffs!$G$29,IF(AND($C14&gt;Tariffs!$E$29,$C14&lt;=Tariffs!$E$30),Tariffs!$G$30,Tariffs!$G$31))</f>
        <v>13</v>
      </c>
      <c r="F14" s="95">
        <f>IF($C14&gt;Tariffs!$E$31,(Tariffs!$F$29*Tariffs!$H$29)+(Tariffs!$F$30*Tariffs!$H$30)+(Tariffs!$F$31*Tariffs!$H$31)+(($C14-Tariffs!$E$31)*Tariffs!$H$32),IF(AND($C14&gt;Tariffs!$E$29,$C14&lt;=Tariffs!$E$30),(Tariffs!$F$29*Tariffs!$H$29)+(($C14-Tariffs!$E$29)*Tariffs!$H$30),IF(AND($C14&gt;Tariffs!$E$30,$C14&lt;=Tariffs!$E$31),(Tariffs!$F$29*Tariffs!$H$29)+(Tariffs!$F$30*Tariffs!$H$30)+(($C14-Tariffs!$E$30)*Tariffs!$H$31),$C14*Tariffs!$H$29)))</f>
        <v>76.5</v>
      </c>
      <c r="G14" s="94">
        <f t="shared" si="5"/>
        <v>89.5</v>
      </c>
      <c r="H14" s="95">
        <f>$C14*Tariffs!$J$8</f>
        <v>157.88185437113466</v>
      </c>
      <c r="I14" s="95">
        <f t="shared" si="6"/>
        <v>247.38185437113466</v>
      </c>
      <c r="J14" s="95">
        <f>I14*Tariffs!$I$8</f>
        <v>43.291824514948566</v>
      </c>
      <c r="K14" s="96">
        <f t="shared" si="7"/>
        <v>290.67367888608322</v>
      </c>
      <c r="L14" s="113"/>
      <c r="M14" s="95">
        <f t="shared" si="8"/>
        <v>13</v>
      </c>
      <c r="N14" s="95">
        <f t="shared" si="9"/>
        <v>76.5</v>
      </c>
      <c r="O14" s="94">
        <f t="shared" si="10"/>
        <v>89.5</v>
      </c>
      <c r="P14" s="95">
        <f>$C14*Tariffs!$J$8</f>
        <v>157.88185437113466</v>
      </c>
      <c r="Q14" s="171"/>
      <c r="R14" s="95">
        <f>$C14*Tariffs!K$28</f>
        <v>8.2243000000000013</v>
      </c>
      <c r="S14" s="95">
        <f>$C14*Tariffs!L$28</f>
        <v>17.1129</v>
      </c>
      <c r="T14" s="95">
        <f>$C14*Tariffs!M$28</f>
        <v>17.37575</v>
      </c>
      <c r="U14" s="171"/>
      <c r="V14" s="95">
        <f t="shared" si="11"/>
        <v>255.60615437113466</v>
      </c>
      <c r="W14" s="95">
        <f t="shared" si="11"/>
        <v>264.49475437113466</v>
      </c>
      <c r="X14" s="95">
        <f t="shared" si="11"/>
        <v>264.75760437113468</v>
      </c>
      <c r="Y14" s="171"/>
      <c r="Z14" s="95">
        <f>V14*(1+Tariffs!$I$8)</f>
        <v>300.33723138608326</v>
      </c>
      <c r="AA14" s="95">
        <f>W14*(1+Tariffs!$I$8)</f>
        <v>310.78133638608324</v>
      </c>
      <c r="AB14" s="95">
        <f>X14*(1+Tariffs!$I$8)</f>
        <v>311.09018513608328</v>
      </c>
      <c r="AC14" s="186"/>
      <c r="AD14" s="187">
        <f t="shared" si="0"/>
        <v>350</v>
      </c>
      <c r="AE14" s="95">
        <f t="shared" si="12"/>
        <v>9.6635525000000371</v>
      </c>
      <c r="AF14" s="95">
        <f t="shared" si="1"/>
        <v>20.107657500000016</v>
      </c>
      <c r="AG14" s="95">
        <f t="shared" si="1"/>
        <v>20.416506250000054</v>
      </c>
      <c r="AH14" s="94">
        <f t="shared" si="13"/>
        <v>50.187716250000108</v>
      </c>
      <c r="AI14" s="174">
        <f t="shared" si="2"/>
        <v>3.324536482640128E-2</v>
      </c>
      <c r="AJ14" s="174">
        <f t="shared" si="3"/>
        <v>6.9176051911739478E-2</v>
      </c>
      <c r="AK14" s="174">
        <f t="shared" si="4"/>
        <v>7.0238579317673189E-2</v>
      </c>
      <c r="AL14" s="182">
        <f t="shared" si="14"/>
        <v>0.17265999605581395</v>
      </c>
      <c r="AM14" s="66"/>
    </row>
    <row r="15" spans="2:39" x14ac:dyDescent="0.3">
      <c r="B15" s="66"/>
      <c r="C15" s="77">
        <v>400</v>
      </c>
      <c r="D15" s="78">
        <v>0.74123719923403553</v>
      </c>
      <c r="E15" s="67">
        <f>IF($C15&lt;=Tariffs!$E$29,Tariffs!$G$29,IF(AND($C15&gt;Tariffs!$E$29,$C15&lt;=Tariffs!$E$30),Tariffs!$G$30,Tariffs!$G$31))</f>
        <v>13</v>
      </c>
      <c r="F15" s="67">
        <f>IF($C15&gt;Tariffs!$E$31,(Tariffs!$F$29*Tariffs!$H$29)+(Tariffs!$F$30*Tariffs!$H$30)+(Tariffs!$F$31*Tariffs!$H$31)+(($C15-Tariffs!$E$31)*Tariffs!$H$32),IF(AND($C15&gt;Tariffs!$E$29,$C15&lt;=Tariffs!$E$30),(Tariffs!$F$29*Tariffs!$H$29)+(($C15-Tariffs!$E$29)*Tariffs!$H$30),IF(AND($C15&gt;Tariffs!$E$30,$C15&lt;=Tariffs!$E$31),(Tariffs!$F$29*Tariffs!$H$29)+(Tariffs!$F$30*Tariffs!$H$30)+(($C15-Tariffs!$E$30)*Tariffs!$H$31),$C15*Tariffs!$H$29)))</f>
        <v>88.35</v>
      </c>
      <c r="G15" s="80">
        <f t="shared" si="5"/>
        <v>101.35</v>
      </c>
      <c r="H15" s="67">
        <f>$C15*Tariffs!$J$8</f>
        <v>180.43640499558248</v>
      </c>
      <c r="I15" s="67">
        <f t="shared" si="6"/>
        <v>281.78640499558247</v>
      </c>
      <c r="J15" s="67">
        <f>I15*Tariffs!$I$8</f>
        <v>49.31262087422693</v>
      </c>
      <c r="K15" s="81">
        <f t="shared" si="7"/>
        <v>331.0990258698094</v>
      </c>
      <c r="L15" s="81"/>
      <c r="M15" s="67">
        <f t="shared" si="8"/>
        <v>13</v>
      </c>
      <c r="N15" s="67">
        <f t="shared" si="9"/>
        <v>88.35</v>
      </c>
      <c r="O15" s="80">
        <f t="shared" si="10"/>
        <v>101.35</v>
      </c>
      <c r="P15" s="67">
        <f>$C15*Tariffs!$J$8</f>
        <v>180.43640499558248</v>
      </c>
      <c r="Q15" s="67"/>
      <c r="R15" s="67">
        <f>$C15*Tariffs!K$28</f>
        <v>9.3992000000000004</v>
      </c>
      <c r="S15" s="67">
        <f>$C15*Tariffs!L$28</f>
        <v>19.557600000000001</v>
      </c>
      <c r="T15" s="67">
        <f>$C15*Tariffs!M$28</f>
        <v>19.858000000000001</v>
      </c>
      <c r="U15" s="67"/>
      <c r="V15" s="67">
        <f t="shared" si="11"/>
        <v>291.18560499558248</v>
      </c>
      <c r="W15" s="67">
        <f t="shared" si="11"/>
        <v>301.34400499558245</v>
      </c>
      <c r="X15" s="67">
        <f t="shared" si="11"/>
        <v>301.64440499558248</v>
      </c>
      <c r="Y15" s="67"/>
      <c r="Z15" s="67">
        <f>V15*(1+Tariffs!$I$8)</f>
        <v>342.14308586980945</v>
      </c>
      <c r="AA15" s="67">
        <f>W15*(1+Tariffs!$I$8)</f>
        <v>354.07920586980941</v>
      </c>
      <c r="AB15" s="67">
        <f>X15*(1+Tariffs!$I$8)</f>
        <v>354.43217586980944</v>
      </c>
      <c r="AC15" s="82"/>
      <c r="AD15" s="83">
        <f t="shared" si="0"/>
        <v>400</v>
      </c>
      <c r="AE15" s="67">
        <f t="shared" si="12"/>
        <v>11.044060000000059</v>
      </c>
      <c r="AF15" s="67">
        <f t="shared" si="1"/>
        <v>22.980180000000018</v>
      </c>
      <c r="AG15" s="67">
        <f t="shared" si="1"/>
        <v>23.333150000000046</v>
      </c>
      <c r="AH15" s="80">
        <f t="shared" si="13"/>
        <v>57.357390000000123</v>
      </c>
      <c r="AI15" s="172">
        <f t="shared" si="2"/>
        <v>3.3355761077783042E-2</v>
      </c>
      <c r="AJ15" s="172">
        <f t="shared" si="3"/>
        <v>6.9405761432339563E-2</v>
      </c>
      <c r="AK15" s="172">
        <f t="shared" si="4"/>
        <v>7.0471817120884017E-2</v>
      </c>
      <c r="AL15" s="180">
        <f t="shared" si="14"/>
        <v>0.17323333963100662</v>
      </c>
      <c r="AM15" s="66"/>
    </row>
    <row r="16" spans="2:39" x14ac:dyDescent="0.3">
      <c r="B16" s="66"/>
      <c r="C16" s="84">
        <v>450</v>
      </c>
      <c r="D16" s="85">
        <v>0.76949601753947772</v>
      </c>
      <c r="E16" s="88">
        <f>IF($C16&lt;=Tariffs!$E$29,Tariffs!$G$29,IF(AND($C16&gt;Tariffs!$E$29,$C16&lt;=Tariffs!$E$30),Tariffs!$G$30,Tariffs!$G$31))</f>
        <v>13</v>
      </c>
      <c r="F16" s="88">
        <f>IF($C16&gt;Tariffs!$E$31,(Tariffs!$F$29*Tariffs!$H$29)+(Tariffs!$F$30*Tariffs!$H$30)+(Tariffs!$F$31*Tariffs!$H$31)+(($C16-Tariffs!$E$31)*Tariffs!$H$32),IF(AND($C16&gt;Tariffs!$E$29,$C16&lt;=Tariffs!$E$30),(Tariffs!$F$29*Tariffs!$H$29)+(($C16-Tariffs!$E$29)*Tariffs!$H$30),IF(AND($C16&gt;Tariffs!$E$30,$C16&lt;=Tariffs!$E$31),(Tariffs!$F$29*Tariffs!$H$29)+(Tariffs!$F$30*Tariffs!$H$30)+(($C16-Tariffs!$E$30)*Tariffs!$H$31),$C16*Tariffs!$H$29)))</f>
        <v>100.19999999999999</v>
      </c>
      <c r="G16" s="87">
        <f t="shared" si="5"/>
        <v>113.19999999999999</v>
      </c>
      <c r="H16" s="88">
        <f>$C16*Tariffs!$J$8</f>
        <v>202.99095562003026</v>
      </c>
      <c r="I16" s="88">
        <f t="shared" si="6"/>
        <v>316.19095562003025</v>
      </c>
      <c r="J16" s="88">
        <f>I16*Tariffs!$I$8</f>
        <v>55.333417233505294</v>
      </c>
      <c r="K16" s="89">
        <f t="shared" si="7"/>
        <v>371.52437285353557</v>
      </c>
      <c r="L16" s="81"/>
      <c r="M16" s="88">
        <f t="shared" si="8"/>
        <v>13</v>
      </c>
      <c r="N16" s="88">
        <f t="shared" si="9"/>
        <v>100.19999999999999</v>
      </c>
      <c r="O16" s="87">
        <f t="shared" si="10"/>
        <v>113.19999999999999</v>
      </c>
      <c r="P16" s="88">
        <f>$C16*Tariffs!$J$8</f>
        <v>202.99095562003026</v>
      </c>
      <c r="Q16" s="67"/>
      <c r="R16" s="88">
        <f>$C16*Tariffs!K$28</f>
        <v>10.574100000000001</v>
      </c>
      <c r="S16" s="88">
        <f>$C16*Tariffs!L$28</f>
        <v>22.002300000000002</v>
      </c>
      <c r="T16" s="88">
        <f>$C16*Tariffs!M$28</f>
        <v>22.340250000000001</v>
      </c>
      <c r="U16" s="67"/>
      <c r="V16" s="88">
        <f t="shared" si="11"/>
        <v>326.76505562003024</v>
      </c>
      <c r="W16" s="88">
        <f t="shared" si="11"/>
        <v>338.19325562003024</v>
      </c>
      <c r="X16" s="88">
        <f t="shared" si="11"/>
        <v>338.53120562003028</v>
      </c>
      <c r="Y16" s="67"/>
      <c r="Z16" s="88">
        <f>V16*(1+Tariffs!$I$8)</f>
        <v>383.94894035353553</v>
      </c>
      <c r="AA16" s="88">
        <f>W16*(1+Tariffs!$I$8)</f>
        <v>397.37707535353553</v>
      </c>
      <c r="AB16" s="88">
        <f>X16*(1+Tariffs!$I$8)</f>
        <v>397.7741666035356</v>
      </c>
      <c r="AC16" s="82"/>
      <c r="AD16" s="90">
        <f t="shared" si="0"/>
        <v>450</v>
      </c>
      <c r="AE16" s="88">
        <f t="shared" si="12"/>
        <v>12.424567499999966</v>
      </c>
      <c r="AF16" s="88">
        <f t="shared" si="1"/>
        <v>25.852702499999964</v>
      </c>
      <c r="AG16" s="88">
        <f t="shared" si="1"/>
        <v>26.249793750000038</v>
      </c>
      <c r="AH16" s="87">
        <f t="shared" si="13"/>
        <v>64.527063749999968</v>
      </c>
      <c r="AI16" s="173">
        <f t="shared" si="2"/>
        <v>3.344213302769794E-2</v>
      </c>
      <c r="AJ16" s="173">
        <f t="shared" si="3"/>
        <v>6.9585481839146368E-2</v>
      </c>
      <c r="AK16" s="173">
        <f t="shared" si="4"/>
        <v>7.0654297989618975E-2</v>
      </c>
      <c r="AL16" s="181">
        <f t="shared" si="14"/>
        <v>0.17368191285646328</v>
      </c>
      <c r="AM16" s="66"/>
    </row>
    <row r="17" spans="2:39" x14ac:dyDescent="0.3">
      <c r="B17" s="66"/>
      <c r="C17" s="77">
        <v>500</v>
      </c>
      <c r="D17" s="78">
        <v>0.79401520828129768</v>
      </c>
      <c r="E17" s="67">
        <f>IF($C17&lt;=Tariffs!$E$29,Tariffs!$G$29,IF(AND($C17&gt;Tariffs!$E$29,$C17&lt;=Tariffs!$E$30),Tariffs!$G$30,Tariffs!$G$31))</f>
        <v>13</v>
      </c>
      <c r="F17" s="67">
        <f>IF($C17&gt;Tariffs!$E$31,(Tariffs!$F$29*Tariffs!$H$29)+(Tariffs!$F$30*Tariffs!$H$30)+(Tariffs!$F$31*Tariffs!$H$31)+(($C17-Tariffs!$E$31)*Tariffs!$H$32),IF(AND($C17&gt;Tariffs!$E$29,$C17&lt;=Tariffs!$E$30),(Tariffs!$F$29*Tariffs!$H$29)+(($C17-Tariffs!$E$29)*Tariffs!$H$30),IF(AND($C17&gt;Tariffs!$E$30,$C17&lt;=Tariffs!$E$31),(Tariffs!$F$29*Tariffs!$H$29)+(Tariffs!$F$30*Tariffs!$H$30)+(($C17-Tariffs!$E$30)*Tariffs!$H$31),$C17*Tariffs!$H$29)))</f>
        <v>112.05000000000001</v>
      </c>
      <c r="G17" s="80">
        <f t="shared" si="5"/>
        <v>125.05000000000001</v>
      </c>
      <c r="H17" s="67">
        <f>$C17*Tariffs!$J$8</f>
        <v>225.54550624447808</v>
      </c>
      <c r="I17" s="67">
        <f t="shared" si="6"/>
        <v>350.59550624447809</v>
      </c>
      <c r="J17" s="67">
        <f>I17*Tariffs!$I$8</f>
        <v>61.354213592783658</v>
      </c>
      <c r="K17" s="81">
        <f t="shared" si="7"/>
        <v>411.94971983726174</v>
      </c>
      <c r="L17" s="81"/>
      <c r="M17" s="67">
        <f t="shared" si="8"/>
        <v>13</v>
      </c>
      <c r="N17" s="67">
        <f t="shared" si="9"/>
        <v>112.05000000000001</v>
      </c>
      <c r="O17" s="80">
        <f t="shared" si="10"/>
        <v>125.05000000000001</v>
      </c>
      <c r="P17" s="67">
        <f>$C17*Tariffs!$J$8</f>
        <v>225.54550624447808</v>
      </c>
      <c r="Q17" s="67"/>
      <c r="R17" s="67">
        <f>$C17*Tariffs!K$28</f>
        <v>11.749000000000001</v>
      </c>
      <c r="S17" s="67">
        <f>$C17*Tariffs!L$28</f>
        <v>24.446999999999999</v>
      </c>
      <c r="T17" s="67">
        <f>$C17*Tariffs!M$28</f>
        <v>24.822500000000002</v>
      </c>
      <c r="U17" s="67"/>
      <c r="V17" s="67">
        <f t="shared" si="11"/>
        <v>362.34450624447811</v>
      </c>
      <c r="W17" s="67">
        <f t="shared" si="11"/>
        <v>375.04250624447809</v>
      </c>
      <c r="X17" s="67">
        <f t="shared" si="11"/>
        <v>375.41800624447808</v>
      </c>
      <c r="Y17" s="67"/>
      <c r="Z17" s="67">
        <f>V17*(1+Tariffs!$I$8)</f>
        <v>425.75479483726178</v>
      </c>
      <c r="AA17" s="67">
        <f>W17*(1+Tariffs!$I$8)</f>
        <v>440.67494483726176</v>
      </c>
      <c r="AB17" s="67">
        <f>X17*(1+Tariffs!$I$8)</f>
        <v>441.11615733726177</v>
      </c>
      <c r="AC17" s="82"/>
      <c r="AD17" s="83">
        <f t="shared" si="0"/>
        <v>500</v>
      </c>
      <c r="AE17" s="67">
        <f t="shared" si="12"/>
        <v>13.805075000000045</v>
      </c>
      <c r="AF17" s="67">
        <f t="shared" si="1"/>
        <v>28.725225000000023</v>
      </c>
      <c r="AG17" s="67">
        <f t="shared" si="1"/>
        <v>29.166437500000029</v>
      </c>
      <c r="AH17" s="80">
        <f t="shared" si="13"/>
        <v>71.696737500000097</v>
      </c>
      <c r="AI17" s="172">
        <f t="shared" si="2"/>
        <v>3.3511553316394105E-2</v>
      </c>
      <c r="AJ17" s="172">
        <f t="shared" si="3"/>
        <v>6.9729929689836379E-2</v>
      </c>
      <c r="AK17" s="172">
        <f t="shared" si="4"/>
        <v>7.080096452431639E-2</v>
      </c>
      <c r="AL17" s="180">
        <f t="shared" si="14"/>
        <v>0.17404244753054687</v>
      </c>
      <c r="AM17" s="66"/>
    </row>
    <row r="18" spans="2:39" x14ac:dyDescent="0.3">
      <c r="B18" s="66"/>
      <c r="C18" s="84">
        <v>600</v>
      </c>
      <c r="D18" s="85">
        <v>0.83393000860322486</v>
      </c>
      <c r="E18" s="88">
        <f>IF($C18&lt;=Tariffs!$E$29,Tariffs!$G$29,IF(AND($C18&gt;Tariffs!$E$29,$C18&lt;=Tariffs!$E$30),Tariffs!$G$30,Tariffs!$G$31))</f>
        <v>19</v>
      </c>
      <c r="F18" s="88">
        <f>IF($C18&gt;Tariffs!$E$31,(Tariffs!$F$29*Tariffs!$H$29)+(Tariffs!$F$30*Tariffs!$H$30)+(Tariffs!$F$31*Tariffs!$H$31)+(($C18-Tariffs!$E$31)*Tariffs!$H$32),IF(AND($C18&gt;Tariffs!$E$29,$C18&lt;=Tariffs!$E$30),(Tariffs!$F$29*Tariffs!$H$29)+(($C18-Tariffs!$E$29)*Tariffs!$H$30),IF(AND($C18&gt;Tariffs!$E$30,$C18&lt;=Tariffs!$E$31),(Tariffs!$F$29*Tariffs!$H$29)+(Tariffs!$F$30*Tariffs!$H$30)+(($C18-Tariffs!$E$30)*Tariffs!$H$31),$C18*Tariffs!$H$29)))</f>
        <v>140.45000000000002</v>
      </c>
      <c r="G18" s="87">
        <f t="shared" si="5"/>
        <v>159.45000000000002</v>
      </c>
      <c r="H18" s="88">
        <f>$C18*Tariffs!$J$8</f>
        <v>270.6546074933737</v>
      </c>
      <c r="I18" s="88">
        <f t="shared" si="6"/>
        <v>430.10460749337369</v>
      </c>
      <c r="J18" s="88">
        <f>I18*Tariffs!$I$8</f>
        <v>75.268306311340396</v>
      </c>
      <c r="K18" s="89">
        <f t="shared" si="7"/>
        <v>505.37291380471407</v>
      </c>
      <c r="L18" s="81"/>
      <c r="M18" s="88">
        <f t="shared" si="8"/>
        <v>19</v>
      </c>
      <c r="N18" s="88">
        <f t="shared" si="9"/>
        <v>140.45000000000002</v>
      </c>
      <c r="O18" s="87">
        <f t="shared" si="10"/>
        <v>159.45000000000002</v>
      </c>
      <c r="P18" s="88">
        <f>$C18*Tariffs!$J$8</f>
        <v>270.6546074933737</v>
      </c>
      <c r="Q18" s="67"/>
      <c r="R18" s="88">
        <f>$C18*Tariffs!K$28</f>
        <v>14.098800000000001</v>
      </c>
      <c r="S18" s="88">
        <f>$C18*Tariffs!L$28</f>
        <v>29.336400000000001</v>
      </c>
      <c r="T18" s="88">
        <f>$C18*Tariffs!M$28</f>
        <v>29.787000000000003</v>
      </c>
      <c r="U18" s="67"/>
      <c r="V18" s="88">
        <f t="shared" si="11"/>
        <v>444.20340749337367</v>
      </c>
      <c r="W18" s="88">
        <f t="shared" si="11"/>
        <v>459.44100749337372</v>
      </c>
      <c r="X18" s="88">
        <f t="shared" si="11"/>
        <v>459.89160749337367</v>
      </c>
      <c r="Y18" s="67"/>
      <c r="Z18" s="88">
        <f>V18*(1+Tariffs!$I$8)</f>
        <v>521.93900380471405</v>
      </c>
      <c r="AA18" s="88">
        <f>W18*(1+Tariffs!$I$8)</f>
        <v>539.84318380471416</v>
      </c>
      <c r="AB18" s="88">
        <f>X18*(1+Tariffs!$I$8)</f>
        <v>540.37263880471403</v>
      </c>
      <c r="AC18" s="82"/>
      <c r="AD18" s="90">
        <f t="shared" si="0"/>
        <v>600</v>
      </c>
      <c r="AE18" s="88">
        <f t="shared" si="12"/>
        <v>16.566089999999974</v>
      </c>
      <c r="AF18" s="88">
        <f t="shared" si="1"/>
        <v>34.470270000000085</v>
      </c>
      <c r="AG18" s="88">
        <f t="shared" si="1"/>
        <v>34.999724999999955</v>
      </c>
      <c r="AH18" s="87">
        <f t="shared" si="13"/>
        <v>86.036085000000014</v>
      </c>
      <c r="AI18" s="173">
        <f t="shared" si="2"/>
        <v>3.2779932496345587E-2</v>
      </c>
      <c r="AJ18" s="173">
        <f t="shared" si="3"/>
        <v>6.8207592964351305E-2</v>
      </c>
      <c r="AK18" s="173">
        <f t="shared" si="4"/>
        <v>6.9255245075371175E-2</v>
      </c>
      <c r="AL18" s="181">
        <f t="shared" si="14"/>
        <v>0.17024277053606807</v>
      </c>
      <c r="AM18" s="66"/>
    </row>
    <row r="19" spans="2:39" x14ac:dyDescent="0.3">
      <c r="B19" s="66"/>
      <c r="C19" s="77">
        <v>700</v>
      </c>
      <c r="D19" s="78">
        <v>0.86338217744845003</v>
      </c>
      <c r="E19" s="67">
        <f>IF($C19&lt;=Tariffs!$E$29,Tariffs!$G$29,IF(AND($C19&gt;Tariffs!$E$29,$C19&lt;=Tariffs!$E$30),Tariffs!$G$30,Tariffs!$G$31))</f>
        <v>19</v>
      </c>
      <c r="F19" s="67">
        <f>IF($C19&gt;Tariffs!$E$31,(Tariffs!$F$29*Tariffs!$H$29)+(Tariffs!$F$30*Tariffs!$H$30)+(Tariffs!$F$31*Tariffs!$H$31)+(($C19-Tariffs!$E$31)*Tariffs!$H$32),IF(AND($C19&gt;Tariffs!$E$29,$C19&lt;=Tariffs!$E$30),(Tariffs!$F$29*Tariffs!$H$29)+(($C19-Tariffs!$E$29)*Tariffs!$H$30),IF(AND($C19&gt;Tariffs!$E$30,$C19&lt;=Tariffs!$E$31),(Tariffs!$F$29*Tariffs!$H$29)+(Tariffs!$F$30*Tariffs!$H$30)+(($C19-Tariffs!$E$30)*Tariffs!$H$31),$C19*Tariffs!$H$29)))</f>
        <v>168.85000000000002</v>
      </c>
      <c r="G19" s="80">
        <f t="shared" si="5"/>
        <v>187.85000000000002</v>
      </c>
      <c r="H19" s="67">
        <f>$C19*Tariffs!$J$8</f>
        <v>315.76370874226933</v>
      </c>
      <c r="I19" s="67">
        <f t="shared" si="6"/>
        <v>503.61370874226935</v>
      </c>
      <c r="J19" s="67">
        <f>I19*Tariffs!$I$8</f>
        <v>88.13239902989713</v>
      </c>
      <c r="K19" s="81">
        <f t="shared" si="7"/>
        <v>591.74610777216651</v>
      </c>
      <c r="L19" s="81"/>
      <c r="M19" s="67">
        <f t="shared" si="8"/>
        <v>19</v>
      </c>
      <c r="N19" s="67">
        <f t="shared" si="9"/>
        <v>168.85000000000002</v>
      </c>
      <c r="O19" s="80">
        <f t="shared" si="10"/>
        <v>187.85000000000002</v>
      </c>
      <c r="P19" s="67">
        <f>$C19*Tariffs!$J$8</f>
        <v>315.76370874226933</v>
      </c>
      <c r="Q19" s="67"/>
      <c r="R19" s="67">
        <f>$C19*Tariffs!K$28</f>
        <v>16.448600000000003</v>
      </c>
      <c r="S19" s="67">
        <f>$C19*Tariffs!L$28</f>
        <v>34.2258</v>
      </c>
      <c r="T19" s="67">
        <f>$C19*Tariffs!M$28</f>
        <v>34.7515</v>
      </c>
      <c r="U19" s="67"/>
      <c r="V19" s="67">
        <f t="shared" si="11"/>
        <v>520.06230874226935</v>
      </c>
      <c r="W19" s="67">
        <f t="shared" si="11"/>
        <v>537.83950874226935</v>
      </c>
      <c r="X19" s="67">
        <f t="shared" si="11"/>
        <v>538.36520874226937</v>
      </c>
      <c r="Y19" s="67"/>
      <c r="Z19" s="67">
        <f>V19*(1+Tariffs!$I$8)</f>
        <v>611.07321277216647</v>
      </c>
      <c r="AA19" s="67">
        <f>W19*(1+Tariffs!$I$8)</f>
        <v>631.96142277216654</v>
      </c>
      <c r="AB19" s="67">
        <f>X19*(1+Tariffs!$I$8)</f>
        <v>632.57912027216651</v>
      </c>
      <c r="AC19" s="82"/>
      <c r="AD19" s="83">
        <f t="shared" si="0"/>
        <v>700</v>
      </c>
      <c r="AE19" s="67">
        <f t="shared" si="12"/>
        <v>19.32710499999996</v>
      </c>
      <c r="AF19" s="67">
        <f t="shared" si="1"/>
        <v>40.215315000000032</v>
      </c>
      <c r="AG19" s="67">
        <f t="shared" si="1"/>
        <v>40.833012499999995</v>
      </c>
      <c r="AH19" s="80">
        <f t="shared" si="13"/>
        <v>100.37543249999999</v>
      </c>
      <c r="AI19" s="172">
        <f t="shared" si="2"/>
        <v>3.2661144274803267E-2</v>
      </c>
      <c r="AJ19" s="172">
        <f t="shared" si="3"/>
        <v>6.7960421660236303E-2</v>
      </c>
      <c r="AK19" s="172">
        <f t="shared" si="4"/>
        <v>6.9004277279879345E-2</v>
      </c>
      <c r="AL19" s="180">
        <f t="shared" si="14"/>
        <v>0.16962584321491891</v>
      </c>
      <c r="AM19" s="66"/>
    </row>
    <row r="20" spans="2:39" x14ac:dyDescent="0.3">
      <c r="B20" s="66"/>
      <c r="C20" s="84">
        <v>800</v>
      </c>
      <c r="D20" s="85">
        <v>0.88619459939499901</v>
      </c>
      <c r="E20" s="88">
        <f>IF($C20&lt;=Tariffs!$E$29,Tariffs!$G$29,IF(AND($C20&gt;Tariffs!$E$29,$C20&lt;=Tariffs!$E$30),Tariffs!$G$30,Tariffs!$G$31))</f>
        <v>19</v>
      </c>
      <c r="F20" s="88">
        <f>IF($C20&gt;Tariffs!$E$31,(Tariffs!$F$29*Tariffs!$H$29)+(Tariffs!$F$30*Tariffs!$H$30)+(Tariffs!$F$31*Tariffs!$H$31)+(($C20-Tariffs!$E$31)*Tariffs!$H$32),IF(AND($C20&gt;Tariffs!$E$29,$C20&lt;=Tariffs!$E$30),(Tariffs!$F$29*Tariffs!$H$29)+(($C20-Tariffs!$E$29)*Tariffs!$H$30),IF(AND($C20&gt;Tariffs!$E$30,$C20&lt;=Tariffs!$E$31),(Tariffs!$F$29*Tariffs!$H$29)+(Tariffs!$F$30*Tariffs!$H$30)+(($C20-Tariffs!$E$30)*Tariffs!$H$31),$C20*Tariffs!$H$29)))</f>
        <v>197.25</v>
      </c>
      <c r="G20" s="87">
        <f t="shared" si="5"/>
        <v>216.25</v>
      </c>
      <c r="H20" s="88">
        <f>$C20*Tariffs!$J$8</f>
        <v>360.87280999116496</v>
      </c>
      <c r="I20" s="88">
        <f t="shared" si="6"/>
        <v>577.12280999116501</v>
      </c>
      <c r="J20" s="88">
        <f>I20*Tariffs!$I$8</f>
        <v>100.99649174845388</v>
      </c>
      <c r="K20" s="89">
        <f t="shared" si="7"/>
        <v>678.11930173961889</v>
      </c>
      <c r="L20" s="81"/>
      <c r="M20" s="88">
        <f t="shared" si="8"/>
        <v>19</v>
      </c>
      <c r="N20" s="88">
        <f t="shared" si="9"/>
        <v>197.25</v>
      </c>
      <c r="O20" s="87">
        <f t="shared" si="10"/>
        <v>216.25</v>
      </c>
      <c r="P20" s="88">
        <f>$C20*Tariffs!$J$8</f>
        <v>360.87280999116496</v>
      </c>
      <c r="Q20" s="67"/>
      <c r="R20" s="88">
        <f>$C20*Tariffs!K$28</f>
        <v>18.798400000000001</v>
      </c>
      <c r="S20" s="88">
        <f>$C20*Tariffs!L$28</f>
        <v>39.115200000000002</v>
      </c>
      <c r="T20" s="88">
        <f>$C20*Tariffs!M$28</f>
        <v>39.716000000000001</v>
      </c>
      <c r="U20" s="67"/>
      <c r="V20" s="88">
        <f t="shared" si="11"/>
        <v>595.92120999116503</v>
      </c>
      <c r="W20" s="88">
        <f t="shared" si="11"/>
        <v>616.23800999116497</v>
      </c>
      <c r="X20" s="88">
        <f t="shared" si="11"/>
        <v>616.83880999116502</v>
      </c>
      <c r="Y20" s="67"/>
      <c r="Z20" s="88">
        <f>V20*(1+Tariffs!$I$8)</f>
        <v>700.20742173961889</v>
      </c>
      <c r="AA20" s="88">
        <f>W20*(1+Tariffs!$I$8)</f>
        <v>724.07966173961881</v>
      </c>
      <c r="AB20" s="88">
        <f>X20*(1+Tariffs!$I$8)</f>
        <v>724.78560173961898</v>
      </c>
      <c r="AC20" s="82"/>
      <c r="AD20" s="90">
        <f t="shared" si="0"/>
        <v>800</v>
      </c>
      <c r="AE20" s="88">
        <f t="shared" si="12"/>
        <v>22.088120000000004</v>
      </c>
      <c r="AF20" s="88">
        <f t="shared" si="1"/>
        <v>45.960359999999923</v>
      </c>
      <c r="AG20" s="88">
        <f t="shared" si="1"/>
        <v>46.666300000000092</v>
      </c>
      <c r="AH20" s="87">
        <f t="shared" si="13"/>
        <v>114.71478000000002</v>
      </c>
      <c r="AI20" s="173">
        <f t="shared" si="2"/>
        <v>3.2572616563687262E-2</v>
      </c>
      <c r="AJ20" s="173">
        <f t="shared" si="3"/>
        <v>6.7776215604090861E-2</v>
      </c>
      <c r="AK20" s="173">
        <f t="shared" si="4"/>
        <v>6.8817241863318612E-2</v>
      </c>
      <c r="AL20" s="181">
        <f t="shared" si="14"/>
        <v>0.16916607403109674</v>
      </c>
      <c r="AM20" s="66"/>
    </row>
    <row r="21" spans="2:39" x14ac:dyDescent="0.3">
      <c r="B21" s="66"/>
      <c r="C21" s="77">
        <v>900</v>
      </c>
      <c r="D21" s="78">
        <v>0.90366469625065915</v>
      </c>
      <c r="E21" s="67">
        <f>IF($C21&lt;=Tariffs!$E$29,Tariffs!$G$29,IF(AND($C21&gt;Tariffs!$E$29,$C21&lt;=Tariffs!$E$30),Tariffs!$G$30,Tariffs!$G$31))</f>
        <v>19</v>
      </c>
      <c r="F21" s="67">
        <f>IF($C21&gt;Tariffs!$E$31,(Tariffs!$F$29*Tariffs!$H$29)+(Tariffs!$F$30*Tariffs!$H$30)+(Tariffs!$F$31*Tariffs!$H$31)+(($C21-Tariffs!$E$31)*Tariffs!$H$32),IF(AND($C21&gt;Tariffs!$E$29,$C21&lt;=Tariffs!$E$30),(Tariffs!$F$29*Tariffs!$H$29)+(($C21-Tariffs!$E$29)*Tariffs!$H$30),IF(AND($C21&gt;Tariffs!$E$30,$C21&lt;=Tariffs!$E$31),(Tariffs!$F$29*Tariffs!$H$29)+(Tariffs!$F$30*Tariffs!$H$30)+(($C21-Tariffs!$E$30)*Tariffs!$H$31),$C21*Tariffs!$H$29)))</f>
        <v>225.65</v>
      </c>
      <c r="G21" s="80">
        <f t="shared" si="5"/>
        <v>244.65</v>
      </c>
      <c r="H21" s="67">
        <f>$C21*Tariffs!$J$8</f>
        <v>405.98191124006053</v>
      </c>
      <c r="I21" s="67">
        <f t="shared" si="6"/>
        <v>650.6319112400605</v>
      </c>
      <c r="J21" s="67">
        <f>I21*Tariffs!$I$8</f>
        <v>113.86058446701058</v>
      </c>
      <c r="K21" s="81">
        <f t="shared" si="7"/>
        <v>764.49249570707104</v>
      </c>
      <c r="L21" s="81"/>
      <c r="M21" s="67">
        <f t="shared" si="8"/>
        <v>19</v>
      </c>
      <c r="N21" s="67">
        <f t="shared" si="9"/>
        <v>225.65</v>
      </c>
      <c r="O21" s="80">
        <f t="shared" si="10"/>
        <v>244.65</v>
      </c>
      <c r="P21" s="67">
        <f>$C21*Tariffs!$J$8</f>
        <v>405.98191124006053</v>
      </c>
      <c r="Q21" s="67"/>
      <c r="R21" s="67">
        <f>$C21*Tariffs!K$28</f>
        <v>21.148200000000003</v>
      </c>
      <c r="S21" s="67">
        <f>$C21*Tariffs!L$28</f>
        <v>44.004600000000003</v>
      </c>
      <c r="T21" s="67">
        <f>$C21*Tariffs!M$28</f>
        <v>44.680500000000002</v>
      </c>
      <c r="U21" s="67"/>
      <c r="V21" s="67">
        <f t="shared" si="11"/>
        <v>671.78011124006048</v>
      </c>
      <c r="W21" s="67">
        <f t="shared" si="11"/>
        <v>694.63651124006049</v>
      </c>
      <c r="X21" s="67">
        <f t="shared" si="11"/>
        <v>695.31241124006056</v>
      </c>
      <c r="Y21" s="67"/>
      <c r="Z21" s="67">
        <f>V21*(1+Tariffs!$I$8)</f>
        <v>789.34163070707109</v>
      </c>
      <c r="AA21" s="67">
        <f>W21*(1+Tariffs!$I$8)</f>
        <v>816.19790070707108</v>
      </c>
      <c r="AB21" s="67">
        <f>X21*(1+Tariffs!$I$8)</f>
        <v>816.99208320707123</v>
      </c>
      <c r="AC21" s="82"/>
      <c r="AD21" s="83">
        <f t="shared" si="0"/>
        <v>900</v>
      </c>
      <c r="AE21" s="67">
        <f t="shared" si="12"/>
        <v>24.849135000000047</v>
      </c>
      <c r="AF21" s="67">
        <f t="shared" si="1"/>
        <v>51.705405000000042</v>
      </c>
      <c r="AG21" s="67">
        <f t="shared" si="1"/>
        <v>52.499587500000189</v>
      </c>
      <c r="AH21" s="80">
        <f t="shared" si="13"/>
        <v>129.05412750000028</v>
      </c>
      <c r="AI21" s="172">
        <f t="shared" si="2"/>
        <v>3.2504092766819648E-2</v>
      </c>
      <c r="AJ21" s="172">
        <f t="shared" si="3"/>
        <v>6.7633633149241312E-2</v>
      </c>
      <c r="AK21" s="172">
        <f t="shared" si="4"/>
        <v>6.8672469376489964E-2</v>
      </c>
      <c r="AL21" s="180">
        <f t="shared" si="14"/>
        <v>0.16881019529255092</v>
      </c>
      <c r="AM21" s="66"/>
    </row>
    <row r="22" spans="2:39" x14ac:dyDescent="0.3">
      <c r="B22" s="66"/>
      <c r="C22" s="84">
        <v>1000</v>
      </c>
      <c r="D22" s="85">
        <v>0.91704132323148224</v>
      </c>
      <c r="E22" s="88">
        <f>IF($C22&lt;=Tariffs!$E$29,Tariffs!$G$29,IF(AND($C22&gt;Tariffs!$E$29,$C22&lt;=Tariffs!$E$30),Tariffs!$G$30,Tariffs!$G$31))</f>
        <v>19</v>
      </c>
      <c r="F22" s="88">
        <f>IF($C22&gt;Tariffs!$E$31,(Tariffs!$F$29*Tariffs!$H$29)+(Tariffs!$F$30*Tariffs!$H$30)+(Tariffs!$F$31*Tariffs!$H$31)+(($C22-Tariffs!$E$31)*Tariffs!$H$32),IF(AND($C22&gt;Tariffs!$E$29,$C22&lt;=Tariffs!$E$30),(Tariffs!$F$29*Tariffs!$H$29)+(($C22-Tariffs!$E$29)*Tariffs!$H$30),IF(AND($C22&gt;Tariffs!$E$30,$C22&lt;=Tariffs!$E$31),(Tariffs!$F$29*Tariffs!$H$29)+(Tariffs!$F$30*Tariffs!$H$30)+(($C22-Tariffs!$E$30)*Tariffs!$H$31),$C22*Tariffs!$H$29)))</f>
        <v>254.05</v>
      </c>
      <c r="G22" s="87">
        <f t="shared" si="5"/>
        <v>273.05</v>
      </c>
      <c r="H22" s="88">
        <f>$C22*Tariffs!$J$8</f>
        <v>451.09101248895615</v>
      </c>
      <c r="I22" s="88">
        <f t="shared" si="6"/>
        <v>724.14101248895622</v>
      </c>
      <c r="J22" s="88">
        <f>I22*Tariffs!$I$8</f>
        <v>126.72467718556733</v>
      </c>
      <c r="K22" s="89">
        <f t="shared" si="7"/>
        <v>850.86568967452354</v>
      </c>
      <c r="L22" s="81"/>
      <c r="M22" s="88">
        <f t="shared" si="8"/>
        <v>19</v>
      </c>
      <c r="N22" s="88">
        <f t="shared" si="9"/>
        <v>254.05</v>
      </c>
      <c r="O22" s="87">
        <f t="shared" si="10"/>
        <v>273.05</v>
      </c>
      <c r="P22" s="88">
        <f>$C22*Tariffs!$J$8</f>
        <v>451.09101248895615</v>
      </c>
      <c r="Q22" s="67"/>
      <c r="R22" s="88">
        <f>$C22*Tariffs!K$28</f>
        <v>23.498000000000001</v>
      </c>
      <c r="S22" s="88">
        <f>$C22*Tariffs!L$28</f>
        <v>48.893999999999998</v>
      </c>
      <c r="T22" s="88">
        <f>$C22*Tariffs!M$28</f>
        <v>49.645000000000003</v>
      </c>
      <c r="U22" s="67"/>
      <c r="V22" s="88">
        <f t="shared" si="11"/>
        <v>747.63901248895627</v>
      </c>
      <c r="W22" s="88">
        <f t="shared" si="11"/>
        <v>773.03501248895623</v>
      </c>
      <c r="X22" s="88">
        <f t="shared" si="11"/>
        <v>773.7860124889562</v>
      </c>
      <c r="Y22" s="67"/>
      <c r="Z22" s="88">
        <f>V22*(1+Tariffs!$I$8)</f>
        <v>878.47583967452363</v>
      </c>
      <c r="AA22" s="88">
        <f>W22*(1+Tariffs!$I$8)</f>
        <v>908.31613967452358</v>
      </c>
      <c r="AB22" s="88">
        <f>X22*(1+Tariffs!$I$8)</f>
        <v>909.1985646745236</v>
      </c>
      <c r="AC22" s="82"/>
      <c r="AD22" s="90">
        <f t="shared" si="0"/>
        <v>1000</v>
      </c>
      <c r="AE22" s="88">
        <f t="shared" si="12"/>
        <v>27.61015000000009</v>
      </c>
      <c r="AF22" s="88">
        <f t="shared" si="1"/>
        <v>57.450450000000046</v>
      </c>
      <c r="AG22" s="88">
        <f t="shared" si="1"/>
        <v>58.332875000000058</v>
      </c>
      <c r="AH22" s="87">
        <f t="shared" si="13"/>
        <v>143.39347500000019</v>
      </c>
      <c r="AI22" s="173">
        <f t="shared" si="2"/>
        <v>3.2449480963983479E-2</v>
      </c>
      <c r="AJ22" s="173">
        <f t="shared" si="3"/>
        <v>6.7519998393608116E-2</v>
      </c>
      <c r="AK22" s="173">
        <f t="shared" si="4"/>
        <v>6.8557089218527212E-2</v>
      </c>
      <c r="AL22" s="181">
        <f t="shared" si="14"/>
        <v>0.16852656857611881</v>
      </c>
      <c r="AM22" s="66"/>
    </row>
    <row r="23" spans="2:39" x14ac:dyDescent="0.3">
      <c r="B23" s="66"/>
      <c r="C23" s="77">
        <v>1100</v>
      </c>
      <c r="D23" s="78">
        <v>0.92812838231621009</v>
      </c>
      <c r="E23" s="67">
        <f>IF($C23&lt;=Tariffs!$E$29,Tariffs!$G$29,IF(AND($C23&gt;Tariffs!$E$29,$C23&lt;=Tariffs!$E$30),Tariffs!$G$30,Tariffs!$G$31))</f>
        <v>19</v>
      </c>
      <c r="F23" s="67">
        <f>IF($C23&gt;Tariffs!$E$31,(Tariffs!$F$29*Tariffs!$H$29)+(Tariffs!$F$30*Tariffs!$H$30)+(Tariffs!$F$31*Tariffs!$H$31)+(($C23-Tariffs!$E$31)*Tariffs!$H$32),IF(AND($C23&gt;Tariffs!$E$29,$C23&lt;=Tariffs!$E$30),(Tariffs!$F$29*Tariffs!$H$29)+(($C23-Tariffs!$E$29)*Tariffs!$H$30),IF(AND($C23&gt;Tariffs!$E$30,$C23&lt;=Tariffs!$E$31),(Tariffs!$F$29*Tariffs!$H$29)+(Tariffs!$F$30*Tariffs!$H$30)+(($C23-Tariffs!$E$30)*Tariffs!$H$31),$C23*Tariffs!$H$29)))</f>
        <v>282.45</v>
      </c>
      <c r="G23" s="80">
        <f t="shared" si="5"/>
        <v>301.45</v>
      </c>
      <c r="H23" s="67">
        <f>$C23*Tariffs!$J$8</f>
        <v>496.20011373785178</v>
      </c>
      <c r="I23" s="67">
        <f t="shared" si="6"/>
        <v>797.65011373785183</v>
      </c>
      <c r="J23" s="67">
        <f>I23*Tariffs!$I$8</f>
        <v>139.58876990412406</v>
      </c>
      <c r="K23" s="81">
        <f t="shared" si="7"/>
        <v>937.23888364197592</v>
      </c>
      <c r="L23" s="81"/>
      <c r="M23" s="67">
        <f t="shared" si="8"/>
        <v>19</v>
      </c>
      <c r="N23" s="67">
        <f t="shared" si="9"/>
        <v>282.45</v>
      </c>
      <c r="O23" s="80">
        <f t="shared" si="10"/>
        <v>301.45</v>
      </c>
      <c r="P23" s="67">
        <f>$C23*Tariffs!$J$8</f>
        <v>496.20011373785178</v>
      </c>
      <c r="Q23" s="67"/>
      <c r="R23" s="67">
        <f>$C23*Tariffs!K$28</f>
        <v>25.847800000000003</v>
      </c>
      <c r="S23" s="67">
        <f>$C23*Tariffs!L$28</f>
        <v>53.7834</v>
      </c>
      <c r="T23" s="67">
        <f>$C23*Tariffs!M$28</f>
        <v>54.609500000000004</v>
      </c>
      <c r="U23" s="67"/>
      <c r="V23" s="67">
        <f t="shared" si="11"/>
        <v>823.49791373785183</v>
      </c>
      <c r="W23" s="67">
        <f t="shared" si="11"/>
        <v>851.43351373785185</v>
      </c>
      <c r="X23" s="67">
        <f t="shared" si="11"/>
        <v>852.25961373785185</v>
      </c>
      <c r="Y23" s="67"/>
      <c r="Z23" s="67">
        <f>V23*(1+Tariffs!$I$8)</f>
        <v>967.61004864197594</v>
      </c>
      <c r="AA23" s="67">
        <f>W23*(1+Tariffs!$I$8)</f>
        <v>1000.434378641976</v>
      </c>
      <c r="AB23" s="67">
        <f>X23*(1+Tariffs!$I$8)</f>
        <v>1001.405046141976</v>
      </c>
      <c r="AC23" s="82"/>
      <c r="AD23" s="83">
        <f t="shared" si="0"/>
        <v>1100</v>
      </c>
      <c r="AE23" s="67">
        <f t="shared" si="12"/>
        <v>30.371165000000019</v>
      </c>
      <c r="AF23" s="67">
        <f t="shared" si="12"/>
        <v>63.195495000000051</v>
      </c>
      <c r="AG23" s="67">
        <f t="shared" si="12"/>
        <v>64.166162500000041</v>
      </c>
      <c r="AH23" s="80">
        <f t="shared" si="13"/>
        <v>157.73282250000011</v>
      </c>
      <c r="AI23" s="172">
        <f t="shared" si="2"/>
        <v>3.2404934889152193E-2</v>
      </c>
      <c r="AJ23" s="172">
        <f t="shared" si="3"/>
        <v>6.7427308131339458E-2</v>
      </c>
      <c r="AK23" s="172">
        <f t="shared" si="4"/>
        <v>6.846297525627576E-2</v>
      </c>
      <c r="AL23" s="180">
        <f t="shared" si="14"/>
        <v>0.16829521827676741</v>
      </c>
      <c r="AM23" s="66"/>
    </row>
    <row r="24" spans="2:39" x14ac:dyDescent="0.3">
      <c r="B24" s="66"/>
      <c r="C24" s="84">
        <v>1200</v>
      </c>
      <c r="D24" s="85">
        <v>0.93821635722809638</v>
      </c>
      <c r="E24" s="88">
        <f>IF($C24&lt;=Tariffs!$E$29,Tariffs!$G$29,IF(AND($C24&gt;Tariffs!$E$29,$C24&lt;=Tariffs!$E$30),Tariffs!$G$30,Tariffs!$G$31))</f>
        <v>19</v>
      </c>
      <c r="F24" s="88">
        <f>IF($C24&gt;Tariffs!$E$31,(Tariffs!$F$29*Tariffs!$H$29)+(Tariffs!$F$30*Tariffs!$H$30)+(Tariffs!$F$31*Tariffs!$H$31)+(($C24-Tariffs!$E$31)*Tariffs!$H$32),IF(AND($C24&gt;Tariffs!$E$29,$C24&lt;=Tariffs!$E$30),(Tariffs!$F$29*Tariffs!$H$29)+(($C24-Tariffs!$E$29)*Tariffs!$H$30),IF(AND($C24&gt;Tariffs!$E$30,$C24&lt;=Tariffs!$E$31),(Tariffs!$F$29*Tariffs!$H$29)+(Tariffs!$F$30*Tariffs!$H$30)+(($C24-Tariffs!$E$30)*Tariffs!$H$31),$C24*Tariffs!$H$29)))</f>
        <v>310.85000000000002</v>
      </c>
      <c r="G24" s="87">
        <f t="shared" si="5"/>
        <v>329.85</v>
      </c>
      <c r="H24" s="88">
        <f>$C24*Tariffs!$J$8</f>
        <v>541.30921498674741</v>
      </c>
      <c r="I24" s="88">
        <f t="shared" si="6"/>
        <v>871.15921498674743</v>
      </c>
      <c r="J24" s="88">
        <f>I24*Tariffs!$I$8</f>
        <v>152.45286262268078</v>
      </c>
      <c r="K24" s="89">
        <f t="shared" si="7"/>
        <v>1023.6120776094282</v>
      </c>
      <c r="L24" s="81"/>
      <c r="M24" s="88">
        <f t="shared" si="8"/>
        <v>19</v>
      </c>
      <c r="N24" s="88">
        <f t="shared" si="9"/>
        <v>310.85000000000002</v>
      </c>
      <c r="O24" s="87">
        <f t="shared" si="10"/>
        <v>329.85</v>
      </c>
      <c r="P24" s="88">
        <f>$C24*Tariffs!$J$8</f>
        <v>541.30921498674741</v>
      </c>
      <c r="Q24" s="67"/>
      <c r="R24" s="88">
        <f>$C24*Tariffs!K$28</f>
        <v>28.197600000000001</v>
      </c>
      <c r="S24" s="88">
        <f>$C24*Tariffs!L$28</f>
        <v>58.672800000000002</v>
      </c>
      <c r="T24" s="88">
        <f>$C24*Tariffs!M$28</f>
        <v>59.574000000000005</v>
      </c>
      <c r="U24" s="67"/>
      <c r="V24" s="88">
        <f t="shared" si="11"/>
        <v>899.35681498674739</v>
      </c>
      <c r="W24" s="88">
        <f t="shared" si="11"/>
        <v>929.83201498674748</v>
      </c>
      <c r="X24" s="88">
        <f t="shared" si="11"/>
        <v>930.73321498674738</v>
      </c>
      <c r="Y24" s="67"/>
      <c r="Z24" s="88">
        <f>V24*(1+Tariffs!$I$8)</f>
        <v>1056.7442576094281</v>
      </c>
      <c r="AA24" s="88">
        <f>W24*(1+Tariffs!$I$8)</f>
        <v>1092.5526176094284</v>
      </c>
      <c r="AB24" s="88">
        <f>X24*(1+Tariffs!$I$8)</f>
        <v>1093.6115276094283</v>
      </c>
      <c r="AC24" s="82"/>
      <c r="AD24" s="90">
        <f t="shared" si="0"/>
        <v>1200</v>
      </c>
      <c r="AE24" s="88">
        <f t="shared" si="12"/>
        <v>33.132179999999948</v>
      </c>
      <c r="AF24" s="88">
        <f t="shared" si="12"/>
        <v>68.940540000000169</v>
      </c>
      <c r="AG24" s="88">
        <f t="shared" si="12"/>
        <v>69.999450000000138</v>
      </c>
      <c r="AH24" s="87">
        <f t="shared" si="13"/>
        <v>172.07217000000026</v>
      </c>
      <c r="AI24" s="173">
        <f t="shared" si="2"/>
        <v>3.2367906480136321E-2</v>
      </c>
      <c r="AJ24" s="173">
        <f t="shared" si="3"/>
        <v>6.7350260423856945E-2</v>
      </c>
      <c r="AK24" s="173">
        <f t="shared" si="4"/>
        <v>6.8384744114663887E-2</v>
      </c>
      <c r="AL24" s="181">
        <f t="shared" si="14"/>
        <v>0.16810291101865715</v>
      </c>
      <c r="AM24" s="66"/>
    </row>
    <row r="25" spans="2:39" x14ac:dyDescent="0.3">
      <c r="B25" s="66"/>
      <c r="C25" s="77">
        <v>1300</v>
      </c>
      <c r="D25" s="78">
        <v>0.94619515444176161</v>
      </c>
      <c r="E25" s="67">
        <f>IF($C25&lt;=Tariffs!$E$29,Tariffs!$G$29,IF(AND($C25&gt;Tariffs!$E$29,$C25&lt;=Tariffs!$E$30),Tariffs!$G$30,Tariffs!$G$31))</f>
        <v>19</v>
      </c>
      <c r="F25" s="67">
        <f>IF($C25&gt;Tariffs!$E$31,(Tariffs!$F$29*Tariffs!$H$29)+(Tariffs!$F$30*Tariffs!$H$30)+(Tariffs!$F$31*Tariffs!$H$31)+(($C25-Tariffs!$E$31)*Tariffs!$H$32),IF(AND($C25&gt;Tariffs!$E$29,$C25&lt;=Tariffs!$E$30),(Tariffs!$F$29*Tariffs!$H$29)+(($C25-Tariffs!$E$29)*Tariffs!$H$30),IF(AND($C25&gt;Tariffs!$E$30,$C25&lt;=Tariffs!$E$31),(Tariffs!$F$29*Tariffs!$H$29)+(Tariffs!$F$30*Tariffs!$H$30)+(($C25-Tariffs!$E$30)*Tariffs!$H$31),$C25*Tariffs!$H$29)))</f>
        <v>339.25</v>
      </c>
      <c r="G25" s="80">
        <f t="shared" si="5"/>
        <v>358.25</v>
      </c>
      <c r="H25" s="67">
        <f>$C25*Tariffs!$J$8</f>
        <v>586.41831623564303</v>
      </c>
      <c r="I25" s="67">
        <f t="shared" si="6"/>
        <v>944.66831623564303</v>
      </c>
      <c r="J25" s="67">
        <f>I25*Tariffs!$I$8</f>
        <v>165.31695534123753</v>
      </c>
      <c r="K25" s="81">
        <f t="shared" si="7"/>
        <v>1109.9852715768807</v>
      </c>
      <c r="L25" s="81"/>
      <c r="M25" s="67">
        <f t="shared" si="8"/>
        <v>19</v>
      </c>
      <c r="N25" s="67">
        <f t="shared" si="9"/>
        <v>339.25</v>
      </c>
      <c r="O25" s="80">
        <f t="shared" si="10"/>
        <v>358.25</v>
      </c>
      <c r="P25" s="67">
        <f>$C25*Tariffs!$J$8</f>
        <v>586.41831623564303</v>
      </c>
      <c r="Q25" s="67"/>
      <c r="R25" s="67">
        <f>$C25*Tariffs!K$28</f>
        <v>30.547400000000003</v>
      </c>
      <c r="S25" s="67">
        <f>$C25*Tariffs!L$28</f>
        <v>63.562199999999997</v>
      </c>
      <c r="T25" s="67">
        <f>$C25*Tariffs!M$28</f>
        <v>64.538499999999999</v>
      </c>
      <c r="U25" s="67"/>
      <c r="V25" s="67">
        <f t="shared" si="11"/>
        <v>975.21571623564307</v>
      </c>
      <c r="W25" s="67">
        <f t="shared" si="11"/>
        <v>1008.230516235643</v>
      </c>
      <c r="X25" s="67">
        <f t="shared" si="11"/>
        <v>1009.206816235643</v>
      </c>
      <c r="Y25" s="67"/>
      <c r="Z25" s="67">
        <f>V25*(1+Tariffs!$I$8)</f>
        <v>1145.8784665768806</v>
      </c>
      <c r="AA25" s="67">
        <f>W25*(1+Tariffs!$I$8)</f>
        <v>1184.6708565768806</v>
      </c>
      <c r="AB25" s="67">
        <f>X25*(1+Tariffs!$I$8)</f>
        <v>1185.8180090768806</v>
      </c>
      <c r="AC25" s="82"/>
      <c r="AD25" s="83">
        <f t="shared" si="0"/>
        <v>1300</v>
      </c>
      <c r="AE25" s="67">
        <f t="shared" si="12"/>
        <v>35.893194999999878</v>
      </c>
      <c r="AF25" s="67">
        <f t="shared" si="12"/>
        <v>74.685584999999946</v>
      </c>
      <c r="AG25" s="67">
        <f t="shared" si="12"/>
        <v>75.832737499999894</v>
      </c>
      <c r="AH25" s="80">
        <f t="shared" si="13"/>
        <v>186.41151749999972</v>
      </c>
      <c r="AI25" s="172">
        <f t="shared" si="2"/>
        <v>3.2336640781736481E-2</v>
      </c>
      <c r="AJ25" s="172">
        <f t="shared" si="3"/>
        <v>6.7285203608061561E-2</v>
      </c>
      <c r="AK25" s="172">
        <f t="shared" si="4"/>
        <v>6.8318688041931752E-2</v>
      </c>
      <c r="AL25" s="180">
        <f t="shared" si="14"/>
        <v>0.16794053243172979</v>
      </c>
      <c r="AM25" s="66"/>
    </row>
    <row r="26" spans="2:39" x14ac:dyDescent="0.3">
      <c r="B26" s="66"/>
      <c r="C26" s="84">
        <v>1400</v>
      </c>
      <c r="D26" s="85">
        <v>0.95289040601670683</v>
      </c>
      <c r="E26" s="88">
        <f>IF($C26&lt;=Tariffs!$E$29,Tariffs!$G$29,IF(AND($C26&gt;Tariffs!$E$29,$C26&lt;=Tariffs!$E$30),Tariffs!$G$30,Tariffs!$G$31))</f>
        <v>19</v>
      </c>
      <c r="F26" s="88">
        <f>IF($C26&gt;Tariffs!$E$31,(Tariffs!$F$29*Tariffs!$H$29)+(Tariffs!$F$30*Tariffs!$H$30)+(Tariffs!$F$31*Tariffs!$H$31)+(($C26-Tariffs!$E$31)*Tariffs!$H$32),IF(AND($C26&gt;Tariffs!$E$29,$C26&lt;=Tariffs!$E$30),(Tariffs!$F$29*Tariffs!$H$29)+(($C26-Tariffs!$E$29)*Tariffs!$H$30),IF(AND($C26&gt;Tariffs!$E$30,$C26&lt;=Tariffs!$E$31),(Tariffs!$F$29*Tariffs!$H$29)+(Tariffs!$F$30*Tariffs!$H$30)+(($C26-Tariffs!$E$30)*Tariffs!$H$31),$C26*Tariffs!$H$29)))</f>
        <v>367.65</v>
      </c>
      <c r="G26" s="87">
        <f t="shared" si="5"/>
        <v>386.65</v>
      </c>
      <c r="H26" s="88">
        <f>$C26*Tariffs!$J$8</f>
        <v>631.52741748453866</v>
      </c>
      <c r="I26" s="88">
        <f t="shared" si="6"/>
        <v>1018.1774174845386</v>
      </c>
      <c r="J26" s="88">
        <f>I26*Tariffs!$I$8</f>
        <v>178.18104805979425</v>
      </c>
      <c r="K26" s="89">
        <f t="shared" si="7"/>
        <v>1196.3584655443328</v>
      </c>
      <c r="L26" s="81"/>
      <c r="M26" s="88">
        <f t="shared" si="8"/>
        <v>19</v>
      </c>
      <c r="N26" s="88">
        <f t="shared" si="9"/>
        <v>367.65</v>
      </c>
      <c r="O26" s="87">
        <f t="shared" si="10"/>
        <v>386.65</v>
      </c>
      <c r="P26" s="88">
        <f>$C26*Tariffs!$J$8</f>
        <v>631.52741748453866</v>
      </c>
      <c r="Q26" s="67"/>
      <c r="R26" s="88">
        <f>$C26*Tariffs!K$28</f>
        <v>32.897200000000005</v>
      </c>
      <c r="S26" s="88">
        <f>$C26*Tariffs!L$28</f>
        <v>68.451599999999999</v>
      </c>
      <c r="T26" s="88">
        <f>$C26*Tariffs!M$28</f>
        <v>69.503</v>
      </c>
      <c r="U26" s="67"/>
      <c r="V26" s="88">
        <f t="shared" si="11"/>
        <v>1051.0746174845387</v>
      </c>
      <c r="W26" s="88">
        <f t="shared" si="11"/>
        <v>1086.6290174845387</v>
      </c>
      <c r="X26" s="88">
        <f t="shared" si="11"/>
        <v>1087.6804174845386</v>
      </c>
      <c r="Y26" s="67"/>
      <c r="Z26" s="88">
        <f>V26*(1+Tariffs!$I$8)</f>
        <v>1235.012675544333</v>
      </c>
      <c r="AA26" s="88">
        <f>W26*(1+Tariffs!$I$8)</f>
        <v>1276.7890955443331</v>
      </c>
      <c r="AB26" s="88">
        <f>X26*(1+Tariffs!$I$8)</f>
        <v>1278.0244905443328</v>
      </c>
      <c r="AC26" s="82"/>
      <c r="AD26" s="90">
        <f t="shared" si="0"/>
        <v>1400</v>
      </c>
      <c r="AE26" s="88">
        <f t="shared" si="12"/>
        <v>38.654210000000148</v>
      </c>
      <c r="AF26" s="88">
        <f t="shared" si="12"/>
        <v>80.430630000000292</v>
      </c>
      <c r="AG26" s="88">
        <f t="shared" si="12"/>
        <v>81.666024999999991</v>
      </c>
      <c r="AH26" s="87">
        <f t="shared" si="13"/>
        <v>200.75086500000043</v>
      </c>
      <c r="AI26" s="173">
        <f t="shared" si="2"/>
        <v>3.2309889647007095E-2</v>
      </c>
      <c r="AJ26" s="173">
        <f t="shared" si="3"/>
        <v>6.7229540573698454E-2</v>
      </c>
      <c r="AK26" s="173">
        <f t="shared" si="4"/>
        <v>6.8262170036839764E-2</v>
      </c>
      <c r="AL26" s="181">
        <f t="shared" si="14"/>
        <v>0.16780160025754531</v>
      </c>
      <c r="AM26" s="66"/>
    </row>
    <row r="27" spans="2:39" x14ac:dyDescent="0.3">
      <c r="B27" s="66"/>
      <c r="C27" s="77">
        <v>1500</v>
      </c>
      <c r="D27" s="78">
        <v>0.95882940637748726</v>
      </c>
      <c r="E27" s="67">
        <f>IF($C27&lt;=Tariffs!$E$29,Tariffs!$G$29,IF(AND($C27&gt;Tariffs!$E$29,$C27&lt;=Tariffs!$E$30),Tariffs!$G$30,Tariffs!$G$31))</f>
        <v>19</v>
      </c>
      <c r="F27" s="67">
        <f>IF($C27&gt;Tariffs!$E$31,(Tariffs!$F$29*Tariffs!$H$29)+(Tariffs!$F$30*Tariffs!$H$30)+(Tariffs!$F$31*Tariffs!$H$31)+(($C27-Tariffs!$E$31)*Tariffs!$H$32),IF(AND($C27&gt;Tariffs!$E$29,$C27&lt;=Tariffs!$E$30),(Tariffs!$F$29*Tariffs!$H$29)+(($C27-Tariffs!$E$29)*Tariffs!$H$30),IF(AND($C27&gt;Tariffs!$E$30,$C27&lt;=Tariffs!$E$31),(Tariffs!$F$29*Tariffs!$H$29)+(Tariffs!$F$30*Tariffs!$H$30)+(($C27-Tariffs!$E$30)*Tariffs!$H$31),$C27*Tariffs!$H$29)))</f>
        <v>396.05</v>
      </c>
      <c r="G27" s="80">
        <f t="shared" si="5"/>
        <v>415.05</v>
      </c>
      <c r="H27" s="67">
        <f>$C27*Tariffs!$J$8</f>
        <v>676.63651873343429</v>
      </c>
      <c r="I27" s="67">
        <f t="shared" si="6"/>
        <v>1091.6865187334342</v>
      </c>
      <c r="J27" s="67">
        <f>I27*Tariffs!$I$8</f>
        <v>191.04514077835097</v>
      </c>
      <c r="K27" s="81">
        <f t="shared" si="7"/>
        <v>1282.7316595117852</v>
      </c>
      <c r="L27" s="81"/>
      <c r="M27" s="67">
        <f t="shared" si="8"/>
        <v>19</v>
      </c>
      <c r="N27" s="67">
        <f t="shared" si="9"/>
        <v>396.05</v>
      </c>
      <c r="O27" s="80">
        <f t="shared" si="10"/>
        <v>415.05</v>
      </c>
      <c r="P27" s="67">
        <f>$C27*Tariffs!$J$8</f>
        <v>676.63651873343429</v>
      </c>
      <c r="Q27" s="67"/>
      <c r="R27" s="67">
        <f>$C27*Tariffs!K$28</f>
        <v>35.247</v>
      </c>
      <c r="S27" s="67">
        <f>$C27*Tariffs!L$28</f>
        <v>73.340999999999994</v>
      </c>
      <c r="T27" s="67">
        <f>$C27*Tariffs!M$28</f>
        <v>74.467500000000001</v>
      </c>
      <c r="U27" s="67"/>
      <c r="V27" s="67">
        <f t="shared" si="11"/>
        <v>1126.9335187334343</v>
      </c>
      <c r="W27" s="67">
        <f t="shared" si="11"/>
        <v>1165.0275187334341</v>
      </c>
      <c r="X27" s="67">
        <f t="shared" si="11"/>
        <v>1166.1540187334342</v>
      </c>
      <c r="Y27" s="67"/>
      <c r="Z27" s="67">
        <f>V27*(1+Tariffs!$I$8)</f>
        <v>1324.1468845117854</v>
      </c>
      <c r="AA27" s="67">
        <f>W27*(1+Tariffs!$I$8)</f>
        <v>1368.9073345117852</v>
      </c>
      <c r="AB27" s="67">
        <f>X27*(1+Tariffs!$I$8)</f>
        <v>1370.2309720117853</v>
      </c>
      <c r="AC27" s="82"/>
      <c r="AD27" s="83">
        <f t="shared" si="0"/>
        <v>1500</v>
      </c>
      <c r="AE27" s="67">
        <f t="shared" si="12"/>
        <v>41.415225000000191</v>
      </c>
      <c r="AF27" s="67">
        <f t="shared" si="12"/>
        <v>86.175674999999956</v>
      </c>
      <c r="AG27" s="67">
        <f t="shared" si="12"/>
        <v>87.499312500000087</v>
      </c>
      <c r="AH27" s="80">
        <f t="shared" si="13"/>
        <v>215.09021250000023</v>
      </c>
      <c r="AI27" s="172">
        <f t="shared" si="2"/>
        <v>3.228674110668095E-2</v>
      </c>
      <c r="AJ27" s="172">
        <f t="shared" si="3"/>
        <v>6.7181373719893189E-2</v>
      </c>
      <c r="AK27" s="172">
        <f t="shared" si="4"/>
        <v>6.8213263351824427E-2</v>
      </c>
      <c r="AL27" s="180">
        <f t="shared" si="14"/>
        <v>0.16768137817839857</v>
      </c>
      <c r="AM27" s="66"/>
    </row>
    <row r="28" spans="2:39" x14ac:dyDescent="0.3">
      <c r="B28" s="66"/>
      <c r="C28" s="84">
        <v>1600</v>
      </c>
      <c r="D28" s="85">
        <v>0.96358893236755194</v>
      </c>
      <c r="E28" s="88">
        <f>IF($C28&lt;=Tariffs!$E$29,Tariffs!$G$29,IF(AND($C28&gt;Tariffs!$E$29,$C28&lt;=Tariffs!$E$30),Tariffs!$G$30,Tariffs!$G$31))</f>
        <v>19</v>
      </c>
      <c r="F28" s="88">
        <f>IF($C28&gt;Tariffs!$E$31,(Tariffs!$F$29*Tariffs!$H$29)+(Tariffs!$F$30*Tariffs!$H$30)+(Tariffs!$F$31*Tariffs!$H$31)+(($C28-Tariffs!$E$31)*Tariffs!$H$32),IF(AND($C28&gt;Tariffs!$E$29,$C28&lt;=Tariffs!$E$30),(Tariffs!$F$29*Tariffs!$H$29)+(($C28-Tariffs!$E$29)*Tariffs!$H$30),IF(AND($C28&gt;Tariffs!$E$30,$C28&lt;=Tariffs!$E$31),(Tariffs!$F$29*Tariffs!$H$29)+(Tariffs!$F$30*Tariffs!$H$30)+(($C28-Tariffs!$E$30)*Tariffs!$H$31),$C28*Tariffs!$H$29)))</f>
        <v>428.05</v>
      </c>
      <c r="G28" s="87">
        <f t="shared" si="5"/>
        <v>447.05</v>
      </c>
      <c r="H28" s="88">
        <f>$C28*Tariffs!$J$8</f>
        <v>721.74561998232991</v>
      </c>
      <c r="I28" s="88">
        <f t="shared" si="6"/>
        <v>1168.79561998233</v>
      </c>
      <c r="J28" s="88">
        <f>I28*Tariffs!$I$8</f>
        <v>204.53923349690774</v>
      </c>
      <c r="K28" s="89">
        <f t="shared" si="7"/>
        <v>1373.3348534792376</v>
      </c>
      <c r="L28" s="81"/>
      <c r="M28" s="88">
        <f t="shared" si="8"/>
        <v>19</v>
      </c>
      <c r="N28" s="88">
        <f t="shared" si="9"/>
        <v>428.05</v>
      </c>
      <c r="O28" s="87">
        <f t="shared" si="10"/>
        <v>447.05</v>
      </c>
      <c r="P28" s="88">
        <f>$C28*Tariffs!$J$8</f>
        <v>721.74561998232991</v>
      </c>
      <c r="Q28" s="67"/>
      <c r="R28" s="88">
        <f>$C28*Tariffs!K$28</f>
        <v>37.596800000000002</v>
      </c>
      <c r="S28" s="88">
        <f>$C28*Tariffs!L$28</f>
        <v>78.230400000000003</v>
      </c>
      <c r="T28" s="88">
        <f>$C28*Tariffs!M$28</f>
        <v>79.432000000000002</v>
      </c>
      <c r="U28" s="67"/>
      <c r="V28" s="88">
        <f t="shared" si="11"/>
        <v>1206.39241998233</v>
      </c>
      <c r="W28" s="88">
        <f t="shared" si="11"/>
        <v>1247.0260199823299</v>
      </c>
      <c r="X28" s="88">
        <f t="shared" si="11"/>
        <v>1248.22761998233</v>
      </c>
      <c r="Y28" s="67"/>
      <c r="Z28" s="88">
        <f>V28*(1+Tariffs!$I$8)</f>
        <v>1417.5110934792378</v>
      </c>
      <c r="AA28" s="88">
        <f>W28*(1+Tariffs!$I$8)</f>
        <v>1465.2555734792377</v>
      </c>
      <c r="AB28" s="88">
        <f>X28*(1+Tariffs!$I$8)</f>
        <v>1466.6674534792378</v>
      </c>
      <c r="AC28" s="82"/>
      <c r="AD28" s="114">
        <f t="shared" si="0"/>
        <v>1600</v>
      </c>
      <c r="AE28" s="136">
        <f t="shared" si="12"/>
        <v>44.176240000000234</v>
      </c>
      <c r="AF28" s="136">
        <f t="shared" si="12"/>
        <v>91.920720000000074</v>
      </c>
      <c r="AG28" s="136">
        <f t="shared" si="12"/>
        <v>93.332600000000184</v>
      </c>
      <c r="AH28" s="183">
        <f t="shared" si="13"/>
        <v>229.42956000000049</v>
      </c>
      <c r="AI28" s="184">
        <f t="shared" si="2"/>
        <v>3.2167129442672415E-2</v>
      </c>
      <c r="AJ28" s="184">
        <f t="shared" si="3"/>
        <v>6.6932489019066344E-2</v>
      </c>
      <c r="AK28" s="184">
        <f t="shared" si="4"/>
        <v>6.7960555842261794E-2</v>
      </c>
      <c r="AL28" s="185">
        <f t="shared" si="14"/>
        <v>0.16706017430400055</v>
      </c>
      <c r="AM28" s="66"/>
    </row>
    <row r="29" spans="2:3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</row>
    <row r="30" spans="2:39" x14ac:dyDescent="0.3">
      <c r="L30" s="68"/>
    </row>
    <row r="31" spans="2:39" x14ac:dyDescent="0.3">
      <c r="L31" s="68"/>
    </row>
    <row r="32" spans="2:3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8">
    <mergeCell ref="E4:J4"/>
    <mergeCell ref="N4:AB4"/>
    <mergeCell ref="AE4:AL4"/>
    <mergeCell ref="R5:T5"/>
    <mergeCell ref="V5:X5"/>
    <mergeCell ref="Z5:AB5"/>
    <mergeCell ref="AE5:AH5"/>
    <mergeCell ref="AI5:AL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4D755-8539-4F02-9A42-85437EFA1D35}">
  <dimension ref="B1:AM699"/>
  <sheetViews>
    <sheetView workbookViewId="0">
      <selection activeCell="AI13" sqref="AI13"/>
    </sheetView>
  </sheetViews>
  <sheetFormatPr defaultColWidth="9.109375" defaultRowHeight="14.4" outlineLevelCol="1" x14ac:dyDescent="0.3"/>
  <cols>
    <col min="1" max="1" width="9.109375" style="68"/>
    <col min="2" max="2" width="6.5546875" style="68" customWidth="1"/>
    <col min="3" max="3" width="18.44140625" style="68" customWidth="1"/>
    <col min="4" max="4" width="9.109375" style="68" customWidth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20" width="10" style="68" hidden="1" customWidth="1" outlineLevel="1"/>
    <col min="21" max="21" width="3.109375" style="68" hidden="1" customWidth="1" outlineLevel="1"/>
    <col min="22" max="24" width="10" style="68" hidden="1" customWidth="1" outlineLevel="1"/>
    <col min="25" max="25" width="3.33203125" style="68" hidden="1" customWidth="1" outlineLevel="1"/>
    <col min="26" max="28" width="10" style="68" hidden="1" customWidth="1" outlineLevel="1"/>
    <col min="29" max="29" width="2.109375" style="68" hidden="1" customWidth="1" outlineLevel="1"/>
    <col min="30" max="30" width="10" style="68" bestFit="1" customWidth="1" collapsed="1"/>
    <col min="31" max="33" width="11" style="68" customWidth="1"/>
    <col min="34" max="34" width="12.6640625" style="68" customWidth="1"/>
    <col min="35" max="35" width="9.6640625" style="68" customWidth="1"/>
    <col min="36" max="37" width="9.109375" style="68"/>
    <col min="38" max="38" width="11.21875" style="68" customWidth="1"/>
    <col min="39" max="16384" width="9.109375" style="68"/>
  </cols>
  <sheetData>
    <row r="1" spans="2:39" x14ac:dyDescent="0.3">
      <c r="L1" s="68"/>
    </row>
    <row r="2" spans="2:3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</row>
    <row r="3" spans="2:39" ht="28.8" customHeight="1" x14ac:dyDescent="0.3">
      <c r="B3" s="286" t="str">
        <f>"Street Lights Tariff Bill Impacts"&amp;"-"&amp;'CETR Rate'!I3</f>
        <v>Street Lights Tariff Bill Impacts-Battery Energy Storage Systems</v>
      </c>
      <c r="C3" s="69"/>
      <c r="D3" s="69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 t="str">
        <f>B3</f>
        <v>Street Lights Tariff Bill Impacts-Battery Energy Storage Systems</v>
      </c>
      <c r="AG3" s="66"/>
      <c r="AH3" s="66"/>
      <c r="AI3" s="66"/>
      <c r="AJ3" s="66"/>
      <c r="AK3" s="66"/>
      <c r="AL3" s="66"/>
      <c r="AM3" s="66"/>
    </row>
    <row r="4" spans="2:39" ht="30.6" customHeight="1" x14ac:dyDescent="0.3">
      <c r="B4" s="66"/>
      <c r="C4" s="71"/>
      <c r="D4" s="71"/>
      <c r="E4" s="251" t="s">
        <v>103</v>
      </c>
      <c r="F4" s="252"/>
      <c r="G4" s="252"/>
      <c r="H4" s="252"/>
      <c r="I4" s="252"/>
      <c r="J4" s="252"/>
      <c r="K4" s="74"/>
      <c r="L4" s="112"/>
      <c r="M4" s="74"/>
      <c r="N4" s="251" t="s">
        <v>113</v>
      </c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75"/>
      <c r="AD4" s="179"/>
      <c r="AE4" s="250" t="s">
        <v>152</v>
      </c>
      <c r="AF4" s="250"/>
      <c r="AG4" s="250"/>
      <c r="AH4" s="250"/>
      <c r="AI4" s="250"/>
      <c r="AJ4" s="250"/>
      <c r="AK4" s="250"/>
      <c r="AL4" s="250"/>
      <c r="AM4" s="66"/>
    </row>
    <row r="5" spans="2:39" ht="60" customHeight="1" x14ac:dyDescent="0.3">
      <c r="B5" s="66"/>
      <c r="C5" s="71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53" t="s">
        <v>151</v>
      </c>
      <c r="S5" s="253"/>
      <c r="T5" s="253"/>
      <c r="U5" s="73"/>
      <c r="V5" s="254" t="s">
        <v>99</v>
      </c>
      <c r="W5" s="254"/>
      <c r="X5" s="254"/>
      <c r="Y5" s="73"/>
      <c r="Z5" s="254" t="s">
        <v>95</v>
      </c>
      <c r="AA5" s="254"/>
      <c r="AB5" s="254"/>
      <c r="AC5" s="75"/>
      <c r="AD5" s="178"/>
      <c r="AE5" s="249" t="s">
        <v>101</v>
      </c>
      <c r="AF5" s="249"/>
      <c r="AG5" s="249"/>
      <c r="AH5" s="249"/>
      <c r="AI5" s="249" t="s">
        <v>102</v>
      </c>
      <c r="AJ5" s="249"/>
      <c r="AK5" s="249"/>
      <c r="AL5" s="249"/>
      <c r="AM5" s="66"/>
    </row>
    <row r="6" spans="2:39" ht="43.2" x14ac:dyDescent="0.3">
      <c r="B6" s="66"/>
      <c r="C6" s="71"/>
      <c r="D6" s="188" t="s">
        <v>96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>
        <v>2025</v>
      </c>
      <c r="T6" s="72">
        <v>2026</v>
      </c>
      <c r="U6" s="72"/>
      <c r="V6" s="72">
        <v>2024</v>
      </c>
      <c r="W6" s="72">
        <v>2025</v>
      </c>
      <c r="X6" s="72">
        <v>2026</v>
      </c>
      <c r="Y6" s="72"/>
      <c r="Z6" s="72">
        <v>2024</v>
      </c>
      <c r="AA6" s="72">
        <v>2025</v>
      </c>
      <c r="AB6" s="72">
        <v>2026</v>
      </c>
      <c r="AC6" s="66"/>
      <c r="AD6" s="177" t="s">
        <v>96</v>
      </c>
      <c r="AE6" s="176">
        <v>2024</v>
      </c>
      <c r="AF6" s="176">
        <v>2025</v>
      </c>
      <c r="AG6" s="176">
        <v>2026</v>
      </c>
      <c r="AH6" s="176" t="s">
        <v>157</v>
      </c>
      <c r="AI6" s="176">
        <v>2024</v>
      </c>
      <c r="AJ6" s="176">
        <v>2025</v>
      </c>
      <c r="AK6" s="176">
        <v>2026</v>
      </c>
      <c r="AL6" s="176" t="s">
        <v>157</v>
      </c>
      <c r="AM6" s="66"/>
    </row>
    <row r="7" spans="2:39" x14ac:dyDescent="0.3">
      <c r="B7" s="66"/>
      <c r="C7" s="133" t="s">
        <v>146</v>
      </c>
      <c r="D7" s="66">
        <v>7.56</v>
      </c>
      <c r="E7" s="67">
        <f>Tariffs!$E$57</f>
        <v>7.04</v>
      </c>
      <c r="F7" s="79"/>
      <c r="G7" s="80">
        <f>F7+E7</f>
        <v>7.04</v>
      </c>
      <c r="H7" s="67">
        <f>$D7*Tariffs!$J$8</f>
        <v>3.4102480544165084</v>
      </c>
      <c r="I7" s="67">
        <f>H7+G7</f>
        <v>10.450248054416509</v>
      </c>
      <c r="J7" s="67">
        <f>I7*Tariffs!$I$8</f>
        <v>1.8287934095228888</v>
      </c>
      <c r="K7" s="81">
        <f>J7+I7</f>
        <v>12.279041463939398</v>
      </c>
      <c r="L7" s="81"/>
      <c r="M7" s="67">
        <f>E7</f>
        <v>7.04</v>
      </c>
      <c r="N7" s="79"/>
      <c r="O7" s="80">
        <f>N7+M7</f>
        <v>7.04</v>
      </c>
      <c r="P7" s="67">
        <f>$D7*Tariffs!$J$8</f>
        <v>3.4102480544165084</v>
      </c>
      <c r="Q7" s="67"/>
      <c r="R7" s="67">
        <f>$D7*Tariffs!H$57</f>
        <v>0.17764488000000001</v>
      </c>
      <c r="S7" s="67">
        <f>$D7*Tariffs!I$57</f>
        <v>0.36963863999999996</v>
      </c>
      <c r="T7" s="67">
        <f>$D7*Tariffs!J$57</f>
        <v>0.37531619999999999</v>
      </c>
      <c r="U7" s="67"/>
      <c r="V7" s="67">
        <f>$P7+$O7+R7</f>
        <v>10.62789293441651</v>
      </c>
      <c r="W7" s="67">
        <f>$P7+$O7+S7</f>
        <v>10.819886694416509</v>
      </c>
      <c r="X7" s="67">
        <f>$P7+$O7+T7</f>
        <v>10.825564254416509</v>
      </c>
      <c r="Y7" s="67"/>
      <c r="Z7" s="67">
        <f>V7*(1+Tariffs!$I$8)</f>
        <v>12.4877741979394</v>
      </c>
      <c r="AA7" s="67">
        <f>W7*(1+Tariffs!$I$8)</f>
        <v>12.713366865939397</v>
      </c>
      <c r="AB7" s="67">
        <f>X7*(1+Tariffs!$I$8)</f>
        <v>12.720037998939398</v>
      </c>
      <c r="AC7" s="82"/>
      <c r="AD7" s="83">
        <f>D7</f>
        <v>7.56</v>
      </c>
      <c r="AE7" s="67">
        <f>Z7-$K7</f>
        <v>0.20873273400000159</v>
      </c>
      <c r="AF7" s="67">
        <f t="shared" ref="AF7:AG8" si="0">AA7-$K7</f>
        <v>0.43432540199999892</v>
      </c>
      <c r="AG7" s="67">
        <f t="shared" si="0"/>
        <v>0.44099653500000002</v>
      </c>
      <c r="AH7" s="80">
        <f>SUM(AE7:AG7)</f>
        <v>1.0840546710000005</v>
      </c>
      <c r="AI7" s="172">
        <f t="shared" ref="AI7:AK8" si="1">Z7/$K7-1</f>
        <v>1.6999106535554809E-2</v>
      </c>
      <c r="AJ7" s="172">
        <f t="shared" si="1"/>
        <v>3.5371279042872183E-2</v>
      </c>
      <c r="AK7" s="172">
        <f t="shared" si="1"/>
        <v>3.5914573323585719E-2</v>
      </c>
      <c r="AL7" s="180">
        <f>SUM(AI7:AK7)</f>
        <v>8.8284958902012711E-2</v>
      </c>
      <c r="AM7" s="66"/>
    </row>
    <row r="8" spans="2:39" x14ac:dyDescent="0.3">
      <c r="B8" s="66"/>
      <c r="C8" s="134" t="s">
        <v>147</v>
      </c>
      <c r="D8" s="135">
        <v>17.28</v>
      </c>
      <c r="E8" s="88">
        <f>Tariffs!$E$57</f>
        <v>7.04</v>
      </c>
      <c r="F8" s="86"/>
      <c r="G8" s="87">
        <f t="shared" ref="G8" si="2">F8+E8</f>
        <v>7.04</v>
      </c>
      <c r="H8" s="88">
        <f>$D8*Tariffs!$J$8</f>
        <v>7.7948526958091628</v>
      </c>
      <c r="I8" s="88">
        <f t="shared" ref="I8" si="3">H8+G8</f>
        <v>14.834852695809163</v>
      </c>
      <c r="J8" s="88">
        <f>I8*Tariffs!$I$8</f>
        <v>2.5960992217666035</v>
      </c>
      <c r="K8" s="89">
        <f t="shared" ref="K8" si="4">J8+I8</f>
        <v>17.430951917575765</v>
      </c>
      <c r="L8" s="81"/>
      <c r="M8" s="88">
        <f>E8</f>
        <v>7.04</v>
      </c>
      <c r="N8" s="86"/>
      <c r="O8" s="87">
        <f t="shared" ref="O8" si="5">N8+M8</f>
        <v>7.04</v>
      </c>
      <c r="P8" s="88">
        <f>$D8*Tariffs!$J$8</f>
        <v>7.7948526958091628</v>
      </c>
      <c r="Q8" s="67"/>
      <c r="R8" s="88">
        <f>$D8*Tariffs!H$57</f>
        <v>0.40604544000000004</v>
      </c>
      <c r="S8" s="88">
        <f>$D8*Tariffs!I$57</f>
        <v>0.84488832000000003</v>
      </c>
      <c r="T8" s="88">
        <f>$D8*Tariffs!J$57</f>
        <v>0.85786560000000012</v>
      </c>
      <c r="U8" s="67"/>
      <c r="V8" s="88">
        <f t="shared" ref="V8:X8" si="6">$P8+$O8+R8</f>
        <v>15.240898135809163</v>
      </c>
      <c r="W8" s="88">
        <f t="shared" si="6"/>
        <v>15.679741015809164</v>
      </c>
      <c r="X8" s="88">
        <f t="shared" si="6"/>
        <v>15.692718295809163</v>
      </c>
      <c r="Y8" s="67"/>
      <c r="Z8" s="88">
        <f>V8*(1+Tariffs!$I$8)</f>
        <v>17.908055309575765</v>
      </c>
      <c r="AA8" s="88">
        <f>W8*(1+Tariffs!$I$8)</f>
        <v>18.42369569357577</v>
      </c>
      <c r="AB8" s="88">
        <f>X8*(1+Tariffs!$I$8)</f>
        <v>18.438943997575766</v>
      </c>
      <c r="AC8" s="82"/>
      <c r="AD8" s="90">
        <f>D8</f>
        <v>17.28</v>
      </c>
      <c r="AE8" s="88">
        <f t="shared" ref="AE8" si="7">Z8-$K8</f>
        <v>0.47710339200000007</v>
      </c>
      <c r="AF8" s="88">
        <f t="shared" si="0"/>
        <v>0.99274377600000463</v>
      </c>
      <c r="AG8" s="88">
        <f t="shared" si="0"/>
        <v>1.0079920800000011</v>
      </c>
      <c r="AH8" s="87">
        <f t="shared" ref="AH8" si="8">SUM(AE8:AG8)</f>
        <v>2.4778392480000058</v>
      </c>
      <c r="AI8" s="173">
        <f t="shared" si="1"/>
        <v>2.7371046300628699E-2</v>
      </c>
      <c r="AJ8" s="173">
        <f t="shared" si="1"/>
        <v>5.6952929518382378E-2</v>
      </c>
      <c r="AK8" s="173">
        <f t="shared" si="1"/>
        <v>5.7827712724262348E-2</v>
      </c>
      <c r="AL8" s="181">
        <f t="shared" ref="AL8" si="9">SUM(AI8:AK8)</f>
        <v>0.14215168854327342</v>
      </c>
      <c r="AM8" s="66"/>
    </row>
    <row r="9" spans="2:39" x14ac:dyDescent="0.3">
      <c r="B9" s="66"/>
      <c r="C9" s="66"/>
      <c r="D9" s="97"/>
      <c r="E9" s="98"/>
      <c r="F9" s="98"/>
      <c r="G9" s="67"/>
      <c r="H9" s="67"/>
      <c r="I9" s="67"/>
      <c r="J9" s="67"/>
      <c r="K9" s="67"/>
      <c r="L9" s="3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</row>
    <row r="10" spans="2:39" x14ac:dyDescent="0.3">
      <c r="L10" s="68"/>
    </row>
    <row r="11" spans="2:39" x14ac:dyDescent="0.3">
      <c r="L11" s="68"/>
    </row>
    <row r="12" spans="2:39" x14ac:dyDescent="0.3">
      <c r="L12" s="68"/>
    </row>
    <row r="13" spans="2:39" x14ac:dyDescent="0.3">
      <c r="L13" s="68"/>
    </row>
    <row r="14" spans="2:39" x14ac:dyDescent="0.3">
      <c r="L14" s="68"/>
    </row>
    <row r="15" spans="2:39" x14ac:dyDescent="0.3">
      <c r="L15" s="68"/>
    </row>
    <row r="16" spans="2:39" x14ac:dyDescent="0.3">
      <c r="L16" s="68"/>
    </row>
    <row r="17" spans="12:12" x14ac:dyDescent="0.3">
      <c r="L17" s="68"/>
    </row>
    <row r="18" spans="12:12" x14ac:dyDescent="0.3">
      <c r="L18" s="68"/>
    </row>
    <row r="19" spans="12:12" x14ac:dyDescent="0.3">
      <c r="L19" s="68"/>
    </row>
    <row r="20" spans="12:12" x14ac:dyDescent="0.3">
      <c r="L20" s="68"/>
    </row>
    <row r="21" spans="12:12" x14ac:dyDescent="0.3">
      <c r="L21" s="68"/>
    </row>
    <row r="22" spans="12:12" x14ac:dyDescent="0.3">
      <c r="L22" s="68"/>
    </row>
    <row r="23" spans="12:12" x14ac:dyDescent="0.3">
      <c r="L23" s="68"/>
    </row>
    <row r="24" spans="12:12" x14ac:dyDescent="0.3">
      <c r="L24" s="68"/>
    </row>
    <row r="25" spans="12:12" x14ac:dyDescent="0.3">
      <c r="L25" s="68"/>
    </row>
    <row r="26" spans="12:12" x14ac:dyDescent="0.3">
      <c r="L26" s="68"/>
    </row>
    <row r="27" spans="12:12" x14ac:dyDescent="0.3">
      <c r="L27" s="68"/>
    </row>
    <row r="28" spans="12:12" x14ac:dyDescent="0.3">
      <c r="L28" s="68"/>
    </row>
    <row r="29" spans="12:12" x14ac:dyDescent="0.3">
      <c r="L29" s="68"/>
    </row>
    <row r="30" spans="12:12" x14ac:dyDescent="0.3">
      <c r="L30" s="68"/>
    </row>
    <row r="31" spans="12:12" x14ac:dyDescent="0.3">
      <c r="L31" s="68"/>
    </row>
    <row r="32" spans="12:12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</sheetData>
  <mergeCells count="8">
    <mergeCell ref="E4:J4"/>
    <mergeCell ref="N4:AB4"/>
    <mergeCell ref="AE4:AL4"/>
    <mergeCell ref="R5:T5"/>
    <mergeCell ref="V5:X5"/>
    <mergeCell ref="Z5:AB5"/>
    <mergeCell ref="AE5:AH5"/>
    <mergeCell ref="AI5:AL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2C5C3-61DB-4C19-ABA7-70EEA1E90BEA}">
  <dimension ref="B2:X20"/>
  <sheetViews>
    <sheetView topLeftCell="A4" workbookViewId="0">
      <selection activeCell="C3" sqref="C3"/>
    </sheetView>
  </sheetViews>
  <sheetFormatPr defaultRowHeight="14.4" outlineLevelCol="1" x14ac:dyDescent="0.3"/>
  <cols>
    <col min="1" max="4" width="8.88671875" style="71"/>
    <col min="5" max="6" width="10.6640625" style="71" customWidth="1"/>
    <col min="7" max="8" width="8.88671875" style="71"/>
    <col min="9" max="9" width="11.109375" style="71" customWidth="1"/>
    <col min="10" max="10" width="2.88671875" style="71" customWidth="1"/>
    <col min="11" max="13" width="11.109375" style="71" hidden="1" customWidth="1" outlineLevel="1"/>
    <col min="14" max="14" width="2.6640625" style="71" hidden="1" customWidth="1" outlineLevel="1"/>
    <col min="15" max="15" width="10.109375" style="71" bestFit="1" customWidth="1" collapsed="1"/>
    <col min="16" max="17" width="10.109375" style="71" customWidth="1"/>
    <col min="18" max="18" width="11.6640625" style="71" customWidth="1"/>
    <col min="19" max="19" width="2.77734375" style="71" customWidth="1"/>
    <col min="20" max="22" width="8.88671875" style="71"/>
    <col min="23" max="23" width="11.44140625" style="71" customWidth="1"/>
    <col min="24" max="16384" width="8.88671875" style="71"/>
  </cols>
  <sheetData>
    <row r="2" spans="2:24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</row>
    <row r="3" spans="2:24" x14ac:dyDescent="0.3">
      <c r="B3" s="66"/>
      <c r="C3" s="69" t="str">
        <f>"Secondary Voltage Power Tariff Bill Impacts"&amp;"-"&amp;'CETR Rate'!I3</f>
        <v>Secondary Voltage Power Tariff Bill Impacts-Battery Energy Storage Systems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</row>
    <row r="4" spans="2:24" ht="14.4" customHeight="1" x14ac:dyDescent="0.3">
      <c r="B4" s="66"/>
      <c r="C4" s="259" t="s">
        <v>123</v>
      </c>
      <c r="D4" s="260"/>
      <c r="E4" s="260" t="s">
        <v>136</v>
      </c>
      <c r="F4" s="260" t="s">
        <v>137</v>
      </c>
      <c r="G4" s="260" t="s">
        <v>138</v>
      </c>
      <c r="H4" s="260" t="s">
        <v>139</v>
      </c>
      <c r="I4" s="257" t="s">
        <v>113</v>
      </c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8"/>
      <c r="X4" s="66"/>
    </row>
    <row r="5" spans="2:24" ht="43.2" customHeight="1" x14ac:dyDescent="0.3">
      <c r="B5" s="66"/>
      <c r="C5" s="261"/>
      <c r="D5" s="262"/>
      <c r="E5" s="262"/>
      <c r="F5" s="262"/>
      <c r="G5" s="262"/>
      <c r="H5" s="262"/>
      <c r="I5" s="189"/>
      <c r="J5" s="189"/>
      <c r="K5" s="255" t="s">
        <v>95</v>
      </c>
      <c r="L5" s="255"/>
      <c r="M5" s="255"/>
      <c r="N5" s="189"/>
      <c r="O5" s="255" t="s">
        <v>141</v>
      </c>
      <c r="P5" s="255"/>
      <c r="Q5" s="255"/>
      <c r="R5" s="255"/>
      <c r="S5" s="189"/>
      <c r="T5" s="255" t="s">
        <v>142</v>
      </c>
      <c r="U5" s="255"/>
      <c r="V5" s="255"/>
      <c r="W5" s="256"/>
      <c r="X5" s="66"/>
    </row>
    <row r="6" spans="2:24" ht="28.8" x14ac:dyDescent="0.3">
      <c r="B6" s="66"/>
      <c r="C6" s="261"/>
      <c r="D6" s="262"/>
      <c r="E6" s="262"/>
      <c r="F6" s="262"/>
      <c r="G6" s="262"/>
      <c r="H6" s="262"/>
      <c r="I6" s="189" t="s">
        <v>140</v>
      </c>
      <c r="J6" s="189"/>
      <c r="K6" s="189">
        <v>2024</v>
      </c>
      <c r="L6" s="189">
        <v>2025</v>
      </c>
      <c r="M6" s="189">
        <v>2026</v>
      </c>
      <c r="N6" s="189"/>
      <c r="O6" s="189">
        <v>2024</v>
      </c>
      <c r="P6" s="189">
        <v>2025</v>
      </c>
      <c r="Q6" s="189">
        <v>2026</v>
      </c>
      <c r="R6" s="189" t="s">
        <v>157</v>
      </c>
      <c r="S6" s="189"/>
      <c r="T6" s="189">
        <v>2024</v>
      </c>
      <c r="U6" s="189">
        <v>2025</v>
      </c>
      <c r="V6" s="189">
        <v>2026</v>
      </c>
      <c r="W6" s="142" t="s">
        <v>157</v>
      </c>
      <c r="X6" s="66"/>
    </row>
    <row r="7" spans="2:24" x14ac:dyDescent="0.3">
      <c r="B7" s="66"/>
      <c r="C7" s="133" t="s">
        <v>124</v>
      </c>
      <c r="D7" s="66"/>
      <c r="E7" s="143">
        <v>477</v>
      </c>
      <c r="F7" s="139">
        <v>0.106759176365264</v>
      </c>
      <c r="G7" s="140">
        <v>6.3459119496855347</v>
      </c>
      <c r="H7" s="141">
        <v>52.083857442348005</v>
      </c>
      <c r="I7" s="190">
        <f>((Tariffs!$E$36+(Tariffs!$F$36*'Secondary Voltage Power'!$H7)+(Tariffs!$G$36*'Secondary Voltage Power'!$G7)+(Tariffs!$I$36*'Secondary Voltage Power'!$H7))*(1+Tariffs!$H$36))</f>
        <v>344.0137586148299</v>
      </c>
      <c r="J7" s="190"/>
      <c r="K7" s="190">
        <f>((Tariffs!$E$36+(Tariffs!$F$36*'Secondary Voltage Power'!$H7)+(Tariffs!$G$36*'Secondary Voltage Power'!$G7)+(Tariffs!$I$36*'Secondary Voltage Power'!$H7)+(Tariffs!J$36*'Secondary Voltage Power'!$H7))*(1+Tariffs!$H$36))</f>
        <v>345.4385828483729</v>
      </c>
      <c r="L7" s="190">
        <f>((Tariffs!$E$36+(Tariffs!$F$36*'Secondary Voltage Power'!$H7)+(Tariffs!$G$36*'Secondary Voltage Power'!$G7)+(Tariffs!$I$36*'Secondary Voltage Power'!$H7)+(Tariffs!K$36*'Secondary Voltage Power'!$H7))*(1+Tariffs!$H$36))</f>
        <v>346.97852152153848</v>
      </c>
      <c r="M7" s="190">
        <f>((Tariffs!$E$36+(Tariffs!$F$36*'Secondary Voltage Power'!$H7)+(Tariffs!$G$36*'Secondary Voltage Power'!$G7)+(Tariffs!$I$36*'Secondary Voltage Power'!$H7)+(Tariffs!L$36*'Secondary Voltage Power'!$H7))*(1+Tariffs!$H$36))</f>
        <v>347.02405322971464</v>
      </c>
      <c r="N7" s="190"/>
      <c r="O7" s="190">
        <f>K7-$I7</f>
        <v>1.4248242335430064</v>
      </c>
      <c r="P7" s="190">
        <f t="shared" ref="P7:Q7" si="0">L7-$I7</f>
        <v>2.9647629067085859</v>
      </c>
      <c r="Q7" s="190">
        <f t="shared" si="0"/>
        <v>3.0102946148847423</v>
      </c>
      <c r="R7" s="191">
        <f>SUM(O7:Q7)</f>
        <v>7.3998817551363345</v>
      </c>
      <c r="S7" s="190"/>
      <c r="T7" s="112">
        <f>K7/$I7-1</f>
        <v>4.1417652575292951E-3</v>
      </c>
      <c r="U7" s="112">
        <f>L7/$I7-1</f>
        <v>8.6181521304444786E-3</v>
      </c>
      <c r="V7" s="112">
        <f>M7/$I7-1</f>
        <v>8.7505064535955412E-3</v>
      </c>
      <c r="W7" s="192">
        <f>SUM(T7:V7)</f>
        <v>2.1510423841569315E-2</v>
      </c>
      <c r="X7" s="66"/>
    </row>
    <row r="8" spans="2:24" x14ac:dyDescent="0.3">
      <c r="B8" s="66"/>
      <c r="C8" s="133" t="s">
        <v>125</v>
      </c>
      <c r="D8" s="66"/>
      <c r="E8" s="143">
        <v>246</v>
      </c>
      <c r="F8" s="139">
        <v>5.505819158460161E-2</v>
      </c>
      <c r="G8" s="140">
        <v>11.963414634146341</v>
      </c>
      <c r="H8" s="141">
        <v>460.5609756097561</v>
      </c>
      <c r="I8" s="190">
        <f>((Tariffs!$E$36+(Tariffs!$F$36*'Secondary Voltage Power'!$H8)+(Tariffs!$G$36*'Secondary Voltage Power'!$G8)+(Tariffs!$I$36*'Secondary Voltage Power'!$H8))*(1+Tariffs!$H$36))</f>
        <v>801.07518150912256</v>
      </c>
      <c r="J8" s="190"/>
      <c r="K8" s="190">
        <f>((Tariffs!$E$36+(Tariffs!$F$36*'Secondary Voltage Power'!$H8)+(Tariffs!$G$36*'Secondary Voltage Power'!$G8)+(Tariffs!$I$36*'Secondary Voltage Power'!$H8)+(Tariffs!J$36*'Secondary Voltage Power'!$H8))*(1+Tariffs!$H$36))</f>
        <v>813.67444875424462</v>
      </c>
      <c r="L8" s="190">
        <f>((Tariffs!$E$36+(Tariffs!$F$36*'Secondary Voltage Power'!$H8)+(Tariffs!$G$36*'Secondary Voltage Power'!$G8)+(Tariffs!$I$36*'Secondary Voltage Power'!$H8)+(Tariffs!K$36*'Secondary Voltage Power'!$H8))*(1+Tariffs!$H$36))</f>
        <v>827.29163635363477</v>
      </c>
      <c r="M8" s="190">
        <f>((Tariffs!$E$36+(Tariffs!$F$36*'Secondary Voltage Power'!$H8)+(Tariffs!$G$36*'Secondary Voltage Power'!$G8)+(Tariffs!$I$36*'Secondary Voltage Power'!$H8)+(Tariffs!L$36*'Secondary Voltage Power'!$H8))*(1+Tariffs!$H$36))</f>
        <v>827.69425875851289</v>
      </c>
      <c r="N8" s="190"/>
      <c r="O8" s="190">
        <f t="shared" ref="O8:O18" si="1">K8-$I8</f>
        <v>12.599267245122064</v>
      </c>
      <c r="P8" s="190">
        <f t="shared" ref="P8:P18" si="2">L8-$I8</f>
        <v>26.216454844512214</v>
      </c>
      <c r="Q8" s="190">
        <f t="shared" ref="Q8:Q18" si="3">M8-$I8</f>
        <v>26.61907724939033</v>
      </c>
      <c r="R8" s="191">
        <f t="shared" ref="R8:R18" si="4">SUM(O8:Q8)</f>
        <v>65.434799339024607</v>
      </c>
      <c r="S8" s="190"/>
      <c r="T8" s="112">
        <f t="shared" ref="T8:T18" si="5">K8/$I8-1</f>
        <v>1.5727946060426712E-2</v>
      </c>
      <c r="U8" s="112">
        <f t="shared" ref="U8:U18" si="6">L8/$I8-1</f>
        <v>3.2726584782122092E-2</v>
      </c>
      <c r="V8" s="112">
        <f t="shared" ref="V8:V18" si="7">M8/$I8-1</f>
        <v>3.3229187302050045E-2</v>
      </c>
      <c r="W8" s="192">
        <f t="shared" ref="W8:W18" si="8">SUM(T8:V8)</f>
        <v>8.1683718144598849E-2</v>
      </c>
      <c r="X8" s="66"/>
    </row>
    <row r="9" spans="2:24" x14ac:dyDescent="0.3">
      <c r="B9" s="66"/>
      <c r="C9" s="133" t="s">
        <v>126</v>
      </c>
      <c r="D9" s="66"/>
      <c r="E9" s="143">
        <v>482</v>
      </c>
      <c r="F9" s="139">
        <v>0.10787824529991047</v>
      </c>
      <c r="G9" s="140">
        <v>87.448132780082986</v>
      </c>
      <c r="H9" s="141">
        <v>5725.9751037344395</v>
      </c>
      <c r="I9" s="190">
        <f>((Tariffs!$E$36+(Tariffs!$F$36*'Secondary Voltage Power'!$H9)+(Tariffs!$G$36*'Secondary Voltage Power'!$G9)+(Tariffs!$I$36*'Secondary Voltage Power'!$H9))*(1+Tariffs!$H$36))</f>
        <v>6788.1226482292759</v>
      </c>
      <c r="J9" s="190"/>
      <c r="K9" s="190">
        <f>((Tariffs!$E$36+(Tariffs!$F$36*'Secondary Voltage Power'!$H9)+(Tariffs!$G$36*'Secondary Voltage Power'!$G9)+(Tariffs!$I$36*'Secondary Voltage Power'!$H9)+(Tariffs!J$36*'Secondary Voltage Power'!$H9))*(1+Tariffs!$H$36))</f>
        <v>6944.764427258322</v>
      </c>
      <c r="L9" s="190">
        <f>((Tariffs!$E$36+(Tariffs!$F$36*'Secondary Voltage Power'!$H9)+(Tariffs!$G$36*'Secondary Voltage Power'!$G9)+(Tariffs!$I$36*'Secondary Voltage Power'!$H9)+(Tariffs!K$36*'Secondary Voltage Power'!$H9))*(1+Tariffs!$H$36))</f>
        <v>7114.0616133122639</v>
      </c>
      <c r="M9" s="190">
        <f>((Tariffs!$E$36+(Tariffs!$F$36*'Secondary Voltage Power'!$H9)+(Tariffs!$G$36*'Secondary Voltage Power'!$G9)+(Tariffs!$I$36*'Secondary Voltage Power'!$H9)+(Tariffs!L$36*'Secondary Voltage Power'!$H9))*(1+Tariffs!$H$36))</f>
        <v>7119.0672607479491</v>
      </c>
      <c r="N9" s="190"/>
      <c r="O9" s="190">
        <f t="shared" si="1"/>
        <v>156.64177902904612</v>
      </c>
      <c r="P9" s="190">
        <f t="shared" si="2"/>
        <v>325.93896508298803</v>
      </c>
      <c r="Q9" s="190">
        <f t="shared" si="3"/>
        <v>330.94461251867324</v>
      </c>
      <c r="R9" s="191">
        <f t="shared" si="4"/>
        <v>813.52535663070739</v>
      </c>
      <c r="S9" s="190"/>
      <c r="T9" s="112">
        <f t="shared" si="5"/>
        <v>2.3075861640465156E-2</v>
      </c>
      <c r="U9" s="112">
        <f t="shared" si="6"/>
        <v>4.8016068944778389E-2</v>
      </c>
      <c r="V9" s="112">
        <f t="shared" si="7"/>
        <v>4.8753481583748703E-2</v>
      </c>
      <c r="W9" s="192">
        <f t="shared" si="8"/>
        <v>0.11984541216899225</v>
      </c>
      <c r="X9" s="66"/>
    </row>
    <row r="10" spans="2:24" x14ac:dyDescent="0.3">
      <c r="B10" s="66"/>
      <c r="C10" s="133" t="s">
        <v>127</v>
      </c>
      <c r="D10" s="66"/>
      <c r="E10" s="143">
        <v>1296</v>
      </c>
      <c r="F10" s="139">
        <v>0.29006266786034018</v>
      </c>
      <c r="G10" s="140">
        <v>17.010030864197532</v>
      </c>
      <c r="H10" s="141">
        <v>2652.662037037037</v>
      </c>
      <c r="I10" s="190">
        <f>((Tariffs!$E$36+(Tariffs!$F$36*'Secondary Voltage Power'!$H10)+(Tariffs!$G$36*'Secondary Voltage Power'!$G10)+(Tariffs!$I$36*'Secondary Voltage Power'!$H10))*(1+Tariffs!$H$36))</f>
        <v>2475.0132793673311</v>
      </c>
      <c r="J10" s="190"/>
      <c r="K10" s="190">
        <f>((Tariffs!$E$36+(Tariffs!$F$36*'Secondary Voltage Power'!$H10)+(Tariffs!$G$36*'Secondary Voltage Power'!$G10)+(Tariffs!$I$36*'Secondary Voltage Power'!$H10)+(Tariffs!J$36*'Secondary Voltage Power'!$H10))*(1+Tariffs!$H$36))</f>
        <v>2547.5804304842291</v>
      </c>
      <c r="L10" s="190">
        <f>((Tariffs!$E$36+(Tariffs!$F$36*'Secondary Voltage Power'!$H10)+(Tariffs!$G$36*'Secondary Voltage Power'!$G10)+(Tariffs!$I$36*'Secondary Voltage Power'!$H10)+(Tariffs!K$36*'Secondary Voltage Power'!$H10))*(1+Tariffs!$H$36))</f>
        <v>2626.0104289188357</v>
      </c>
      <c r="M10" s="190">
        <f>((Tariffs!$E$36+(Tariffs!$F$36*'Secondary Voltage Power'!$H10)+(Tariffs!$G$36*'Secondary Voltage Power'!$G10)+(Tariffs!$I$36*'Secondary Voltage Power'!$H10)+(Tariffs!L$36*'Secondary Voltage Power'!$H10))*(1+Tariffs!$H$36))</f>
        <v>2628.3293860716135</v>
      </c>
      <c r="N10" s="190"/>
      <c r="O10" s="190">
        <f t="shared" si="1"/>
        <v>72.567151116898003</v>
      </c>
      <c r="P10" s="190">
        <f t="shared" si="2"/>
        <v>150.99714955150466</v>
      </c>
      <c r="Q10" s="190">
        <f t="shared" si="3"/>
        <v>153.31610670428245</v>
      </c>
      <c r="R10" s="191">
        <f t="shared" si="4"/>
        <v>376.88040737268511</v>
      </c>
      <c r="S10" s="190"/>
      <c r="T10" s="112">
        <f t="shared" si="5"/>
        <v>2.9319903744293274E-2</v>
      </c>
      <c r="U10" s="112">
        <f t="shared" si="6"/>
        <v>6.1008621978021482E-2</v>
      </c>
      <c r="V10" s="112">
        <f t="shared" si="7"/>
        <v>6.194556933588391E-2</v>
      </c>
      <c r="W10" s="192">
        <f t="shared" si="8"/>
        <v>0.15227409505819867</v>
      </c>
      <c r="X10" s="66"/>
    </row>
    <row r="11" spans="2:24" x14ac:dyDescent="0.3">
      <c r="B11" s="66"/>
      <c r="C11" s="133" t="s">
        <v>128</v>
      </c>
      <c r="D11" s="66"/>
      <c r="E11" s="143">
        <v>965</v>
      </c>
      <c r="F11" s="139">
        <v>0.21598030438675023</v>
      </c>
      <c r="G11" s="140">
        <v>25.580310880829014</v>
      </c>
      <c r="H11" s="141">
        <v>6369.8</v>
      </c>
      <c r="I11" s="190">
        <f>((Tariffs!$E$36+(Tariffs!$F$36*'Secondary Voltage Power'!$H11)+(Tariffs!$G$36*'Secondary Voltage Power'!$G11)+(Tariffs!$I$36*'Secondary Voltage Power'!$H11))*(1+Tariffs!$H$36))</f>
        <v>5313.8998315149456</v>
      </c>
      <c r="J11" s="190"/>
      <c r="K11" s="190">
        <f>((Tariffs!$E$36+(Tariffs!$F$36*'Secondary Voltage Power'!$H11)+(Tariffs!$G$36*'Secondary Voltage Power'!$G11)+(Tariffs!$I$36*'Secondary Voltage Power'!$H11)+(Tariffs!J$36*'Secondary Voltage Power'!$H11))*(1+Tariffs!$H$36))</f>
        <v>5488.1543097449457</v>
      </c>
      <c r="L11" s="190">
        <f>((Tariffs!$E$36+(Tariffs!$F$36*'Secondary Voltage Power'!$H11)+(Tariffs!$G$36*'Secondary Voltage Power'!$G11)+(Tariffs!$I$36*'Secondary Voltage Power'!$H11)+(Tariffs!K$36*'Secondary Voltage Power'!$H11))*(1+Tariffs!$H$36))</f>
        <v>5676.487160689946</v>
      </c>
      <c r="M11" s="190">
        <f>((Tariffs!$E$36+(Tariffs!$F$36*'Secondary Voltage Power'!$H11)+(Tariffs!$G$36*'Secondary Voltage Power'!$G11)+(Tariffs!$I$36*'Secondary Voltage Power'!$H11)+(Tariffs!L$36*'Secondary Voltage Power'!$H11))*(1+Tariffs!$H$36))</f>
        <v>5682.0556398499466</v>
      </c>
      <c r="N11" s="190"/>
      <c r="O11" s="190">
        <f t="shared" si="1"/>
        <v>174.25447823000013</v>
      </c>
      <c r="P11" s="190">
        <f t="shared" si="2"/>
        <v>362.58732917500038</v>
      </c>
      <c r="Q11" s="190">
        <f t="shared" si="3"/>
        <v>368.15580833500098</v>
      </c>
      <c r="R11" s="191">
        <f t="shared" si="4"/>
        <v>904.99761574000149</v>
      </c>
      <c r="S11" s="190"/>
      <c r="T11" s="112">
        <f t="shared" si="5"/>
        <v>3.27922022911602E-2</v>
      </c>
      <c r="U11" s="112">
        <f t="shared" si="6"/>
        <v>6.8233753113789763E-2</v>
      </c>
      <c r="V11" s="112">
        <f t="shared" si="7"/>
        <v>6.9281661304865683E-2</v>
      </c>
      <c r="W11" s="192">
        <f t="shared" si="8"/>
        <v>0.17030761670981565</v>
      </c>
      <c r="X11" s="66"/>
    </row>
    <row r="12" spans="2:24" x14ac:dyDescent="0.3">
      <c r="B12" s="66"/>
      <c r="C12" s="133" t="s">
        <v>129</v>
      </c>
      <c r="D12" s="66"/>
      <c r="E12" s="143">
        <v>631</v>
      </c>
      <c r="F12" s="139">
        <v>0.14122649955237243</v>
      </c>
      <c r="G12" s="140">
        <v>37.895404120443743</v>
      </c>
      <c r="H12" s="141">
        <v>13343.638668779715</v>
      </c>
      <c r="I12" s="190">
        <f>((Tariffs!$E$36+(Tariffs!$F$36*'Secondary Voltage Power'!$H12)+(Tariffs!$G$36*'Secondary Voltage Power'!$G12)+(Tariffs!$I$36*'Secondary Voltage Power'!$H12))*(1+Tariffs!$H$36))</f>
        <v>10523.223902886502</v>
      </c>
      <c r="J12" s="190"/>
      <c r="K12" s="190">
        <f>((Tariffs!$E$36+(Tariffs!$F$36*'Secondary Voltage Power'!$H12)+(Tariffs!$G$36*'Secondary Voltage Power'!$G12)+(Tariffs!$I$36*'Secondary Voltage Power'!$H12)+(Tariffs!J$36*'Secondary Voltage Power'!$H12))*(1+Tariffs!$H$36))</f>
        <v>10888.257152583174</v>
      </c>
      <c r="L12" s="190">
        <f>((Tariffs!$E$36+(Tariffs!$F$36*'Secondary Voltage Power'!$H12)+(Tariffs!$G$36*'Secondary Voltage Power'!$G12)+(Tariffs!$I$36*'Secondary Voltage Power'!$H12)+(Tariffs!K$36*'Secondary Voltage Power'!$H12))*(1+Tariffs!$H$36))</f>
        <v>11282.782178874615</v>
      </c>
      <c r="M12" s="190">
        <f>((Tariffs!$E$36+(Tariffs!$F$36*'Secondary Voltage Power'!$H12)+(Tariffs!$G$36*'Secondary Voltage Power'!$G12)+(Tariffs!$I$36*'Secondary Voltage Power'!$H12)+(Tariffs!L$36*'Secondary Voltage Power'!$H12))*(1+Tariffs!$H$36))</f>
        <v>11294.447187798864</v>
      </c>
      <c r="N12" s="190"/>
      <c r="O12" s="190">
        <f t="shared" si="1"/>
        <v>365.03324969667119</v>
      </c>
      <c r="P12" s="190">
        <f t="shared" si="2"/>
        <v>759.55827598811265</v>
      </c>
      <c r="Q12" s="190">
        <f t="shared" si="3"/>
        <v>771.22328491236112</v>
      </c>
      <c r="R12" s="191">
        <f t="shared" si="4"/>
        <v>1895.814810597145</v>
      </c>
      <c r="S12" s="190"/>
      <c r="T12" s="112">
        <f t="shared" si="5"/>
        <v>3.4688347702698241E-2</v>
      </c>
      <c r="U12" s="112">
        <f t="shared" si="6"/>
        <v>7.2179237370381122E-2</v>
      </c>
      <c r="V12" s="112">
        <f t="shared" si="7"/>
        <v>7.3287738817456427E-2</v>
      </c>
      <c r="W12" s="192">
        <f t="shared" si="8"/>
        <v>0.18015532389053579</v>
      </c>
      <c r="X12" s="66"/>
    </row>
    <row r="13" spans="2:24" x14ac:dyDescent="0.3">
      <c r="B13" s="66"/>
      <c r="C13" s="133" t="s">
        <v>130</v>
      </c>
      <c r="D13" s="66"/>
      <c r="E13" s="143">
        <v>278</v>
      </c>
      <c r="F13" s="139">
        <v>6.222023276633841E-2</v>
      </c>
      <c r="G13" s="140">
        <v>47.31654676258993</v>
      </c>
      <c r="H13" s="141">
        <v>20775.244604316547</v>
      </c>
      <c r="I13" s="190">
        <f>((Tariffs!$E$36+(Tariffs!$F$36*'Secondary Voltage Power'!$H13)+(Tariffs!$G$36*'Secondary Voltage Power'!$G13)+(Tariffs!$I$36*'Secondary Voltage Power'!$H13))*(1+Tariffs!$H$36))</f>
        <v>15959.601857428506</v>
      </c>
      <c r="J13" s="190"/>
      <c r="K13" s="190">
        <f>((Tariffs!$E$36+(Tariffs!$F$36*'Secondary Voltage Power'!$H13)+(Tariffs!$G$36*'Secondary Voltage Power'!$G13)+(Tariffs!$I$36*'Secondary Voltage Power'!$H13)+(Tariffs!J$36*'Secondary Voltage Power'!$H13))*(1+Tariffs!$H$36))</f>
        <v>16527.9367201598</v>
      </c>
      <c r="L13" s="190">
        <f>((Tariffs!$E$36+(Tariffs!$F$36*'Secondary Voltage Power'!$H13)+(Tariffs!$G$36*'Secondary Voltage Power'!$G13)+(Tariffs!$I$36*'Secondary Voltage Power'!$H13)+(Tariffs!K$36*'Secondary Voltage Power'!$H13))*(1+Tariffs!$H$36))</f>
        <v>17142.188509134441</v>
      </c>
      <c r="M13" s="190">
        <f>((Tariffs!$E$36+(Tariffs!$F$36*'Secondary Voltage Power'!$H13)+(Tariffs!$G$36*'Secondary Voltage Power'!$G13)+(Tariffs!$I$36*'Secondary Voltage Power'!$H13)+(Tariffs!L$36*'Secondary Voltage Power'!$H13))*(1+Tariffs!$H$36))</f>
        <v>17160.350227967534</v>
      </c>
      <c r="N13" s="190"/>
      <c r="O13" s="190">
        <f t="shared" si="1"/>
        <v>568.33486273129347</v>
      </c>
      <c r="P13" s="190">
        <f t="shared" si="2"/>
        <v>1182.5866517059349</v>
      </c>
      <c r="Q13" s="190">
        <f t="shared" si="3"/>
        <v>1200.7483705390277</v>
      </c>
      <c r="R13" s="191">
        <f t="shared" si="4"/>
        <v>2951.6698849762561</v>
      </c>
      <c r="S13" s="190"/>
      <c r="T13" s="112">
        <f t="shared" si="5"/>
        <v>3.5610842163130707E-2</v>
      </c>
      <c r="U13" s="112">
        <f t="shared" si="6"/>
        <v>7.4098756489686002E-2</v>
      </c>
      <c r="V13" s="112">
        <f t="shared" si="7"/>
        <v>7.5236737185904845E-2</v>
      </c>
      <c r="W13" s="192">
        <f t="shared" si="8"/>
        <v>0.18494633583872155</v>
      </c>
      <c r="X13" s="66"/>
    </row>
    <row r="14" spans="2:24" x14ac:dyDescent="0.3">
      <c r="B14" s="66"/>
      <c r="C14" s="133" t="s">
        <v>131</v>
      </c>
      <c r="D14" s="66"/>
      <c r="E14" s="143">
        <v>57</v>
      </c>
      <c r="F14" s="139">
        <v>1.2757385854968667E-2</v>
      </c>
      <c r="G14" s="140">
        <v>44.789473684210527</v>
      </c>
      <c r="H14" s="141">
        <v>24059.964912280702</v>
      </c>
      <c r="I14" s="190">
        <f>((Tariffs!$E$36+(Tariffs!$F$36*'Secondary Voltage Power'!$H14)+(Tariffs!$G$36*'Secondary Voltage Power'!$G14)+(Tariffs!$I$36*'Secondary Voltage Power'!$H14))*(1+Tariffs!$H$36))</f>
        <v>18154.806431483434</v>
      </c>
      <c r="J14" s="190"/>
      <c r="K14" s="190">
        <f>((Tariffs!$E$36+(Tariffs!$F$36*'Secondary Voltage Power'!$H14)+(Tariffs!$G$36*'Secondary Voltage Power'!$G14)+(Tariffs!$I$36*'Secondary Voltage Power'!$H14)+(Tariffs!J$36*'Secondary Voltage Power'!$H14))*(1+Tariffs!$H$36))</f>
        <v>18812.999252611506</v>
      </c>
      <c r="L14" s="190">
        <f>((Tariffs!$E$36+(Tariffs!$F$36*'Secondary Voltage Power'!$H14)+(Tariffs!$G$36*'Secondary Voltage Power'!$G14)+(Tariffs!$I$36*'Secondary Voltage Power'!$H14)+(Tariffs!K$36*'Secondary Voltage Power'!$H14))*(1+Tariffs!$H$36))</f>
        <v>19524.368806689574</v>
      </c>
      <c r="M14" s="190">
        <f>((Tariffs!$E$36+(Tariffs!$F$36*'Secondary Voltage Power'!$H14)+(Tariffs!$G$36*'Secondary Voltage Power'!$G14)+(Tariffs!$I$36*'Secondary Voltage Power'!$H14)+(Tariffs!L$36*'Secondary Voltage Power'!$H14))*(1+Tariffs!$H$36))</f>
        <v>19545.402028015891</v>
      </c>
      <c r="N14" s="190"/>
      <c r="O14" s="190">
        <f t="shared" si="1"/>
        <v>658.19282112807196</v>
      </c>
      <c r="P14" s="190">
        <f t="shared" si="2"/>
        <v>1369.5623752061401</v>
      </c>
      <c r="Q14" s="190">
        <f t="shared" si="3"/>
        <v>1390.5955965324574</v>
      </c>
      <c r="R14" s="191">
        <f t="shared" si="4"/>
        <v>3418.3507928666695</v>
      </c>
      <c r="S14" s="190"/>
      <c r="T14" s="112">
        <f t="shared" si="5"/>
        <v>3.6254466474875624E-2</v>
      </c>
      <c r="U14" s="112">
        <f t="shared" si="6"/>
        <v>7.543800482670493E-2</v>
      </c>
      <c r="V14" s="112">
        <f t="shared" si="7"/>
        <v>7.6596553192709083E-2</v>
      </c>
      <c r="W14" s="192">
        <f t="shared" si="8"/>
        <v>0.18828902449428964</v>
      </c>
      <c r="X14" s="66"/>
    </row>
    <row r="15" spans="2:24" x14ac:dyDescent="0.3">
      <c r="B15" s="66"/>
      <c r="C15" s="133" t="s">
        <v>132</v>
      </c>
      <c r="D15" s="66"/>
      <c r="E15" s="143">
        <v>30</v>
      </c>
      <c r="F15" s="139">
        <v>6.7144136078782449E-3</v>
      </c>
      <c r="G15" s="140">
        <v>30.9</v>
      </c>
      <c r="H15" s="141">
        <v>19732.066666666666</v>
      </c>
      <c r="I15" s="190">
        <f>((Tariffs!$E$36+(Tariffs!$F$36*'Secondary Voltage Power'!$H15)+(Tariffs!$G$36*'Secondary Voltage Power'!$G15)+(Tariffs!$I$36*'Secondary Voltage Power'!$H15))*(1+Tariffs!$H$36))</f>
        <v>14728.098754120343</v>
      </c>
      <c r="J15" s="190"/>
      <c r="K15" s="190">
        <f>((Tariffs!$E$36+(Tariffs!$F$36*'Secondary Voltage Power'!$H15)+(Tariffs!$G$36*'Secondary Voltage Power'!$G15)+(Tariffs!$I$36*'Secondary Voltage Power'!$H15)+(Tariffs!J$36*'Secondary Voltage Power'!$H15))*(1+Tariffs!$H$36))</f>
        <v>15267.89607607701</v>
      </c>
      <c r="L15" s="190">
        <f>((Tariffs!$E$36+(Tariffs!$F$36*'Secondary Voltage Power'!$H15)+(Tariffs!$G$36*'Secondary Voltage Power'!$G15)+(Tariffs!$I$36*'Secondary Voltage Power'!$H15)+(Tariffs!K$36*'Secondary Voltage Power'!$H15))*(1+Tariffs!$H$36))</f>
        <v>15851.304718478677</v>
      </c>
      <c r="M15" s="190">
        <f>((Tariffs!$E$36+(Tariffs!$F$36*'Secondary Voltage Power'!$H15)+(Tariffs!$G$36*'Secondary Voltage Power'!$G15)+(Tariffs!$I$36*'Secondary Voltage Power'!$H15)+(Tariffs!L$36*'Secondary Voltage Power'!$H15))*(1+Tariffs!$H$36))</f>
        <v>15868.554491158677</v>
      </c>
      <c r="N15" s="190"/>
      <c r="O15" s="190">
        <f t="shared" si="1"/>
        <v>539.79732195666656</v>
      </c>
      <c r="P15" s="190">
        <f t="shared" si="2"/>
        <v>1123.2059643583343</v>
      </c>
      <c r="Q15" s="190">
        <f t="shared" si="3"/>
        <v>1140.4557370383336</v>
      </c>
      <c r="R15" s="191">
        <f t="shared" si="4"/>
        <v>2803.4590233533345</v>
      </c>
      <c r="S15" s="190"/>
      <c r="T15" s="112">
        <f t="shared" si="5"/>
        <v>3.6650848895595001E-2</v>
      </c>
      <c r="U15" s="112">
        <f t="shared" si="6"/>
        <v>7.626279420784754E-2</v>
      </c>
      <c r="V15" s="112">
        <f t="shared" si="7"/>
        <v>7.7434009377434387E-2</v>
      </c>
      <c r="W15" s="192">
        <f t="shared" si="8"/>
        <v>0.19034765248087693</v>
      </c>
      <c r="X15" s="66"/>
    </row>
    <row r="16" spans="2:24" x14ac:dyDescent="0.3">
      <c r="B16" s="66"/>
      <c r="C16" s="133" t="s">
        <v>133</v>
      </c>
      <c r="D16" s="66"/>
      <c r="E16" s="143">
        <v>4</v>
      </c>
      <c r="F16" s="139">
        <v>8.9525514771709937E-4</v>
      </c>
      <c r="G16" s="140">
        <v>12</v>
      </c>
      <c r="H16" s="141">
        <v>8611</v>
      </c>
      <c r="I16" s="190">
        <f>((Tariffs!$E$36+(Tariffs!$F$36*'Secondary Voltage Power'!$H16)+(Tariffs!$G$36*'Secondary Voltage Power'!$G16)+(Tariffs!$I$36*'Secondary Voltage Power'!$H16))*(1+Tariffs!$H$36))</f>
        <v>6443.7971825373224</v>
      </c>
      <c r="J16" s="190"/>
      <c r="K16" s="190">
        <f>((Tariffs!$E$36+(Tariffs!$F$36*'Secondary Voltage Power'!$H16)+(Tariffs!$G$36*'Secondary Voltage Power'!$G16)+(Tariffs!$I$36*'Secondary Voltage Power'!$H16)+(Tariffs!J$36*'Secondary Voltage Power'!$H16))*(1+Tariffs!$H$36))</f>
        <v>6679.3627123873221</v>
      </c>
      <c r="L16" s="190">
        <f>((Tariffs!$E$36+(Tariffs!$F$36*'Secondary Voltage Power'!$H16)+(Tariffs!$G$36*'Secondary Voltage Power'!$G16)+(Tariffs!$I$36*'Secondary Voltage Power'!$H16)+(Tariffs!K$36*'Secondary Voltage Power'!$H16))*(1+Tariffs!$H$36))</f>
        <v>6933.9600591623221</v>
      </c>
      <c r="M16" s="190">
        <f>((Tariffs!$E$36+(Tariffs!$F$36*'Secondary Voltage Power'!$H16)+(Tariffs!$G$36*'Secondary Voltage Power'!$G16)+(Tariffs!$I$36*'Secondary Voltage Power'!$H16)+(Tariffs!L$36*'Secondary Voltage Power'!$H16))*(1+Tariffs!$H$36))</f>
        <v>6941.4877953623227</v>
      </c>
      <c r="N16" s="190"/>
      <c r="O16" s="190">
        <f t="shared" si="1"/>
        <v>235.56552984999962</v>
      </c>
      <c r="P16" s="190">
        <f t="shared" si="2"/>
        <v>490.16287662499963</v>
      </c>
      <c r="Q16" s="190">
        <f t="shared" si="3"/>
        <v>497.69061282500024</v>
      </c>
      <c r="R16" s="191">
        <f t="shared" si="4"/>
        <v>1223.4190192999995</v>
      </c>
      <c r="S16" s="190"/>
      <c r="T16" s="112">
        <f t="shared" si="5"/>
        <v>3.6556943550051679E-2</v>
      </c>
      <c r="U16" s="112">
        <f t="shared" si="6"/>
        <v>7.6067396713437763E-2</v>
      </c>
      <c r="V16" s="112">
        <f t="shared" si="7"/>
        <v>7.7235611042157037E-2</v>
      </c>
      <c r="W16" s="192">
        <f t="shared" si="8"/>
        <v>0.18985995130564648</v>
      </c>
      <c r="X16" s="66"/>
    </row>
    <row r="17" spans="2:24" x14ac:dyDescent="0.3">
      <c r="B17" s="66"/>
      <c r="C17" s="133" t="s">
        <v>134</v>
      </c>
      <c r="D17" s="66"/>
      <c r="E17" s="143">
        <v>1</v>
      </c>
      <c r="F17" s="139">
        <v>2.2381378692927484E-4</v>
      </c>
      <c r="G17" s="140">
        <v>5</v>
      </c>
      <c r="H17" s="141">
        <v>4221</v>
      </c>
      <c r="I17" s="190">
        <f>((Tariffs!$E$36+(Tariffs!$F$36*'Secondary Voltage Power'!$H17)+(Tariffs!$G$36*'Secondary Voltage Power'!$G17)+(Tariffs!$I$36*'Secondary Voltage Power'!$H17))*(1+Tariffs!$H$36))</f>
        <v>3187.8962173661639</v>
      </c>
      <c r="J17" s="190"/>
      <c r="K17" s="190">
        <f>((Tariffs!$E$36+(Tariffs!$F$36*'Secondary Voltage Power'!$H17)+(Tariffs!$G$36*'Secondary Voltage Power'!$G17)+(Tariffs!$I$36*'Secondary Voltage Power'!$H17)+(Tariffs!J$36*'Secondary Voltage Power'!$H17))*(1+Tariffs!$H$36))</f>
        <v>3303.3673707161638</v>
      </c>
      <c r="L17" s="190">
        <f>((Tariffs!$E$36+(Tariffs!$F$36*'Secondary Voltage Power'!$H17)+(Tariffs!$G$36*'Secondary Voltage Power'!$G17)+(Tariffs!$I$36*'Secondary Voltage Power'!$H17)+(Tariffs!K$36*'Secondary Voltage Power'!$H17))*(1+Tariffs!$H$36))</f>
        <v>3428.1676727411636</v>
      </c>
      <c r="M17" s="190">
        <f>((Tariffs!$E$36+(Tariffs!$F$36*'Secondary Voltage Power'!$H17)+(Tariffs!$G$36*'Secondary Voltage Power'!$G17)+(Tariffs!$I$36*'Secondary Voltage Power'!$H17)+(Tariffs!L$36*'Secondary Voltage Power'!$H17))*(1+Tariffs!$H$36))</f>
        <v>3431.8576709411636</v>
      </c>
      <c r="N17" s="190"/>
      <c r="O17" s="190">
        <f t="shared" si="1"/>
        <v>115.47115334999989</v>
      </c>
      <c r="P17" s="190">
        <f t="shared" si="2"/>
        <v>240.27145537499973</v>
      </c>
      <c r="Q17" s="190">
        <f t="shared" si="3"/>
        <v>243.96145357499972</v>
      </c>
      <c r="R17" s="191">
        <f t="shared" si="4"/>
        <v>599.70406229999935</v>
      </c>
      <c r="S17" s="190"/>
      <c r="T17" s="112">
        <f t="shared" si="5"/>
        <v>3.6221741699421495E-2</v>
      </c>
      <c r="U17" s="112">
        <f t="shared" si="6"/>
        <v>7.5369911374816301E-2</v>
      </c>
      <c r="V17" s="112">
        <f t="shared" si="7"/>
        <v>7.6527413987322435E-2</v>
      </c>
      <c r="W17" s="192">
        <f t="shared" si="8"/>
        <v>0.18811906706156023</v>
      </c>
      <c r="X17" s="66"/>
    </row>
    <row r="18" spans="2:24" x14ac:dyDescent="0.3">
      <c r="B18" s="66"/>
      <c r="C18" s="149" t="s">
        <v>135</v>
      </c>
      <c r="D18" s="137"/>
      <c r="E18" s="144">
        <v>1</v>
      </c>
      <c r="F18" s="145">
        <v>2.2381378692927484E-4</v>
      </c>
      <c r="G18" s="146">
        <v>5</v>
      </c>
      <c r="H18" s="147">
        <v>4668</v>
      </c>
      <c r="I18" s="148">
        <f>((Tariffs!$E$36+(Tariffs!$F$36*'Secondary Voltage Power'!$H18)+(Tariffs!$G$36*'Secondary Voltage Power'!$G18)+(Tariffs!$I$36*'Secondary Voltage Power'!$H18))*(1+Tariffs!$H$36))</f>
        <v>3497.3015444006755</v>
      </c>
      <c r="J18" s="148"/>
      <c r="K18" s="148">
        <f>((Tariffs!$E$36+(Tariffs!$F$36*'Secondary Voltage Power'!$H18)+(Tariffs!$G$36*'Secondary Voltage Power'!$G18)+(Tariffs!$I$36*'Secondary Voltage Power'!$H18)+(Tariffs!J$36*'Secondary Voltage Power'!$H18))*(1+Tariffs!$H$36))</f>
        <v>3625.0009862006755</v>
      </c>
      <c r="L18" s="148">
        <f>((Tariffs!$E$36+(Tariffs!$F$36*'Secondary Voltage Power'!$H18)+(Tariffs!$G$36*'Secondary Voltage Power'!$G18)+(Tariffs!$I$36*'Secondary Voltage Power'!$H18)+(Tariffs!K$36*'Secondary Voltage Power'!$H18))*(1+Tariffs!$H$36))</f>
        <v>3763.0175249006757</v>
      </c>
      <c r="M18" s="148">
        <f>((Tariffs!$E$36+(Tariffs!$F$36*'Secondary Voltage Power'!$H18)+(Tariffs!$G$36*'Secondary Voltage Power'!$G18)+(Tariffs!$I$36*'Secondary Voltage Power'!$H18)+(Tariffs!L$36*'Secondary Voltage Power'!$H18))*(1+Tariffs!$H$36))</f>
        <v>3767.0982905006754</v>
      </c>
      <c r="N18" s="148"/>
      <c r="O18" s="148">
        <f t="shared" si="1"/>
        <v>127.69944179999993</v>
      </c>
      <c r="P18" s="148">
        <f t="shared" si="2"/>
        <v>265.71598050000011</v>
      </c>
      <c r="Q18" s="148">
        <f t="shared" si="3"/>
        <v>269.79674609999984</v>
      </c>
      <c r="R18" s="193">
        <f t="shared" si="4"/>
        <v>663.21216839999988</v>
      </c>
      <c r="S18" s="148"/>
      <c r="T18" s="194">
        <f t="shared" si="5"/>
        <v>3.6513706404428303E-2</v>
      </c>
      <c r="U18" s="194">
        <f t="shared" si="6"/>
        <v>7.5977429205503322E-2</v>
      </c>
      <c r="V18" s="194">
        <f t="shared" si="7"/>
        <v>7.7144261847239326E-2</v>
      </c>
      <c r="W18" s="195">
        <f t="shared" si="8"/>
        <v>0.18963539745717095</v>
      </c>
      <c r="X18" s="66"/>
    </row>
    <row r="19" spans="2:24" x14ac:dyDescent="0.3"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111"/>
      <c r="X19" s="66"/>
    </row>
    <row r="20" spans="2:24" x14ac:dyDescent="0.3"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</row>
  </sheetData>
  <mergeCells count="9">
    <mergeCell ref="T5:W5"/>
    <mergeCell ref="I4:W4"/>
    <mergeCell ref="C4:D6"/>
    <mergeCell ref="E4:E6"/>
    <mergeCell ref="F4:F6"/>
    <mergeCell ref="G4:G6"/>
    <mergeCell ref="H4:H6"/>
    <mergeCell ref="K5:M5"/>
    <mergeCell ref="O5:R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8164-F7D7-4C8D-A0EF-3C99022DA5C8}">
  <dimension ref="B2:V18"/>
  <sheetViews>
    <sheetView workbookViewId="0">
      <selection activeCell="P11" sqref="P11"/>
    </sheetView>
  </sheetViews>
  <sheetFormatPr defaultRowHeight="14.4" outlineLevelCol="1" x14ac:dyDescent="0.3"/>
  <cols>
    <col min="1" max="2" width="8.88671875" style="71"/>
    <col min="3" max="3" width="16.77734375" style="71" bestFit="1" customWidth="1"/>
    <col min="4" max="5" width="10.21875" style="71" customWidth="1"/>
    <col min="6" max="8" width="8.88671875" style="71"/>
    <col min="9" max="10" width="0" style="71" hidden="1" customWidth="1" outlineLevel="1"/>
    <col min="11" max="11" width="8.88671875" style="71" hidden="1" customWidth="1" outlineLevel="1"/>
    <col min="12" max="12" width="2.88671875" style="71" hidden="1" customWidth="1" outlineLevel="1"/>
    <col min="13" max="13" width="8.88671875" style="71" collapsed="1"/>
    <col min="14" max="15" width="8.88671875" style="71"/>
    <col min="16" max="16" width="11.77734375" style="71" customWidth="1"/>
    <col min="17" max="17" width="3.109375" style="71" customWidth="1"/>
    <col min="18" max="20" width="8.88671875" style="71"/>
    <col min="21" max="21" width="13.33203125" style="71" customWidth="1"/>
    <col min="22" max="16384" width="8.88671875" style="71"/>
  </cols>
  <sheetData>
    <row r="2" spans="2:2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2:22" ht="15" thickBot="1" x14ac:dyDescent="0.35">
      <c r="B3" s="66"/>
      <c r="C3" s="69" t="str">
        <f>"Large Power Tariff Bill Impacts"&amp;"-"&amp;'CETR Rate'!I3</f>
        <v>Large Power Tariff Bill Impacts-Battery Energy Storage Systems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2:22" ht="14.4" customHeight="1" x14ac:dyDescent="0.3">
      <c r="B4" s="66"/>
      <c r="C4" s="268" t="s">
        <v>123</v>
      </c>
      <c r="D4" s="266" t="s">
        <v>136</v>
      </c>
      <c r="E4" s="266" t="s">
        <v>137</v>
      </c>
      <c r="F4" s="266" t="s">
        <v>138</v>
      </c>
      <c r="G4" s="266" t="s">
        <v>139</v>
      </c>
      <c r="H4" s="198"/>
      <c r="I4" s="198" t="s">
        <v>113</v>
      </c>
      <c r="J4" s="198"/>
      <c r="K4" s="198"/>
      <c r="L4" s="198"/>
      <c r="M4" s="266" t="s">
        <v>113</v>
      </c>
      <c r="N4" s="266"/>
      <c r="O4" s="266"/>
      <c r="P4" s="266"/>
      <c r="Q4" s="266"/>
      <c r="R4" s="266"/>
      <c r="S4" s="266"/>
      <c r="T4" s="266"/>
      <c r="U4" s="267"/>
      <c r="V4" s="66"/>
    </row>
    <row r="5" spans="2:22" ht="14.4" customHeight="1" x14ac:dyDescent="0.3">
      <c r="B5" s="66"/>
      <c r="C5" s="269"/>
      <c r="D5" s="270"/>
      <c r="E5" s="270"/>
      <c r="F5" s="270"/>
      <c r="G5" s="270"/>
      <c r="H5" s="197"/>
      <c r="I5" s="263" t="s">
        <v>95</v>
      </c>
      <c r="J5" s="263"/>
      <c r="K5" s="263"/>
      <c r="L5" s="197"/>
      <c r="M5" s="263" t="s">
        <v>141</v>
      </c>
      <c r="N5" s="263"/>
      <c r="O5" s="263"/>
      <c r="P5" s="263"/>
      <c r="Q5" s="196"/>
      <c r="R5" s="264" t="s">
        <v>142</v>
      </c>
      <c r="S5" s="264"/>
      <c r="T5" s="264"/>
      <c r="U5" s="265"/>
      <c r="V5" s="66"/>
    </row>
    <row r="6" spans="2:22" ht="28.8" x14ac:dyDescent="0.3">
      <c r="B6" s="66"/>
      <c r="C6" s="269"/>
      <c r="D6" s="270"/>
      <c r="E6" s="270"/>
      <c r="F6" s="270"/>
      <c r="G6" s="270"/>
      <c r="H6" s="196" t="s">
        <v>140</v>
      </c>
      <c r="I6" s="196">
        <v>2024</v>
      </c>
      <c r="J6" s="196">
        <v>2025</v>
      </c>
      <c r="K6" s="196">
        <v>2026</v>
      </c>
      <c r="L6" s="196"/>
      <c r="M6" s="196">
        <v>2024</v>
      </c>
      <c r="N6" s="196">
        <v>2025</v>
      </c>
      <c r="O6" s="196">
        <v>2026</v>
      </c>
      <c r="P6" s="196" t="s">
        <v>157</v>
      </c>
      <c r="Q6" s="196"/>
      <c r="R6" s="196">
        <v>2024</v>
      </c>
      <c r="S6" s="196">
        <v>2025</v>
      </c>
      <c r="T6" s="196">
        <v>2026</v>
      </c>
      <c r="U6" s="199" t="s">
        <v>157</v>
      </c>
      <c r="V6" s="66"/>
    </row>
    <row r="7" spans="2:22" x14ac:dyDescent="0.3">
      <c r="B7" s="66"/>
      <c r="C7" s="138" t="s">
        <v>124</v>
      </c>
      <c r="D7" s="140">
        <v>6</v>
      </c>
      <c r="E7" s="139">
        <v>4.4444444444444446E-2</v>
      </c>
      <c r="F7" s="140">
        <v>50</v>
      </c>
      <c r="G7" s="141">
        <v>560.5</v>
      </c>
      <c r="H7" s="200">
        <f>(Tariffs!$E$37+($G7*Tariffs!$F$37)+('Large Power'!$F7*Tariffs!$G$37)+('Large Power'!$G7*Tariffs!$I$36))*(1+Tariffs!$H$36)</f>
        <v>3107.1876396875709</v>
      </c>
      <c r="I7" s="200">
        <f>(Tariffs!$E$37+($G7*Tariffs!$F$37)+('Large Power'!$F7*Tariffs!$G$37)+('Large Power'!$G7*Tariffs!$I$36)+($G7*Tariffs!J$37))*(1+Tariffs!$H$36)</f>
        <v>3122.3977180000711</v>
      </c>
      <c r="J7" s="200">
        <f>(Tariffs!$E$37+($G7*Tariffs!$F$37)+('Large Power'!$F7*Tariffs!$G$37)+('Large Power'!$G7*Tariffs!$I$36)+($G7*Tariffs!K$37))*(1+Tariffs!$H$36)</f>
        <v>3138.8360620000708</v>
      </c>
      <c r="K7" s="200">
        <f>(Tariffs!$E$37+($G7*Tariffs!$F$37)+('Large Power'!$F7*Tariffs!$G$37)+('Large Power'!$G7*Tariffs!$I$36)+($G7*Tariffs!L$37))*(1+Tariffs!$H$36)</f>
        <v>3139.3220995750708</v>
      </c>
      <c r="L7" s="200"/>
      <c r="M7" s="200">
        <f>I7-$H7</f>
        <v>15.210078312500173</v>
      </c>
      <c r="N7" s="200">
        <f t="shared" ref="N7:O7" si="0">J7-$H7</f>
        <v>31.648422312499861</v>
      </c>
      <c r="O7" s="200">
        <f t="shared" si="0"/>
        <v>32.134459887499816</v>
      </c>
      <c r="P7" s="200">
        <f>SUM(M7:O7)</f>
        <v>78.992960512499849</v>
      </c>
      <c r="Q7" s="200"/>
      <c r="R7" s="112">
        <f>I7/$H7-1</f>
        <v>4.8951270654609136E-3</v>
      </c>
      <c r="S7" s="112">
        <f t="shared" ref="S7:T7" si="1">J7/$H7-1</f>
        <v>1.0185552333003667E-2</v>
      </c>
      <c r="T7" s="112">
        <f t="shared" si="1"/>
        <v>1.0341975964712313E-2</v>
      </c>
      <c r="U7" s="201">
        <f>SUM(R7:T7)</f>
        <v>2.5422655363176894E-2</v>
      </c>
      <c r="V7" s="66"/>
    </row>
    <row r="8" spans="2:22" x14ac:dyDescent="0.3">
      <c r="B8" s="66"/>
      <c r="C8" s="138" t="s">
        <v>125</v>
      </c>
      <c r="D8" s="140">
        <v>5</v>
      </c>
      <c r="E8" s="139">
        <v>3.7037037037037035E-2</v>
      </c>
      <c r="F8" s="140">
        <v>51.6</v>
      </c>
      <c r="G8" s="141">
        <v>1538.6</v>
      </c>
      <c r="H8" s="200">
        <f>(Tariffs!$E$37+($G8*Tariffs!$F$37)+('Large Power'!$F8*Tariffs!$G$37)+('Large Power'!$G8*Tariffs!$I$36))*(1+Tariffs!$H$36)</f>
        <v>3812.0581773832218</v>
      </c>
      <c r="I8" s="200">
        <f>(Tariffs!$E$37+($G8*Tariffs!$F$37)+('Large Power'!$F8*Tariffs!$G$37)+('Large Power'!$G8*Tariffs!$I$36)+($G8*Tariffs!J$37))*(1+Tariffs!$H$36)</f>
        <v>3853.8105886082217</v>
      </c>
      <c r="J8" s="200">
        <f>(Tariffs!$E$37+($G8*Tariffs!$F$37)+('Large Power'!$F8*Tariffs!$G$37)+('Large Power'!$G8*Tariffs!$I$36)+($G8*Tariffs!K$37))*(1+Tariffs!$H$36)</f>
        <v>3898.934649408222</v>
      </c>
      <c r="K8" s="200">
        <f>(Tariffs!$E$37+($G8*Tariffs!$F$37)+('Large Power'!$F8*Tariffs!$G$37)+('Large Power'!$G8*Tariffs!$I$36)+($G8*Tariffs!L$37))*(1+Tariffs!$H$36)</f>
        <v>3900.2688463982222</v>
      </c>
      <c r="L8" s="200"/>
      <c r="M8" s="200">
        <f t="shared" ref="M8:M16" si="2">I8-$H8</f>
        <v>41.752411224999832</v>
      </c>
      <c r="N8" s="200">
        <f t="shared" ref="N8:N16" si="3">J8-$H8</f>
        <v>86.876472025000112</v>
      </c>
      <c r="O8" s="200">
        <f t="shared" ref="O8:O16" si="4">K8-$H8</f>
        <v>88.210669015000349</v>
      </c>
      <c r="P8" s="200">
        <f t="shared" ref="P8:P16" si="5">SUM(M8:O8)</f>
        <v>216.83955226500029</v>
      </c>
      <c r="Q8" s="200"/>
      <c r="R8" s="112">
        <f t="shared" ref="R8:R16" si="6">I8/$H8-1</f>
        <v>1.095272141246828E-2</v>
      </c>
      <c r="S8" s="112">
        <f t="shared" ref="S8:S16" si="7">J8/$H8-1</f>
        <v>2.2789912425900116E-2</v>
      </c>
      <c r="T8" s="112">
        <f t="shared" ref="T8:T16" si="8">K8/$H8-1</f>
        <v>2.3139906294807E-2</v>
      </c>
      <c r="U8" s="201">
        <f t="shared" ref="U8:U16" si="9">SUM(R8:T8)</f>
        <v>5.6882540133175397E-2</v>
      </c>
      <c r="V8" s="66"/>
    </row>
    <row r="9" spans="2:22" x14ac:dyDescent="0.3">
      <c r="B9" s="66"/>
      <c r="C9" s="138" t="s">
        <v>126</v>
      </c>
      <c r="D9" s="140">
        <v>13</v>
      </c>
      <c r="E9" s="139">
        <v>9.6296296296296297E-2</v>
      </c>
      <c r="F9" s="140">
        <v>213.92307692307693</v>
      </c>
      <c r="G9" s="141">
        <v>15543.615384615385</v>
      </c>
      <c r="H9" s="200">
        <f>(Tariffs!$E$37+($G9*Tariffs!$F$37)+('Large Power'!$F9*Tariffs!$G$37)+('Large Power'!$G9*Tariffs!$I$36))*(1+Tariffs!$H$36)</f>
        <v>18434.17700224707</v>
      </c>
      <c r="I9" s="200">
        <f>(Tariffs!$E$37+($G9*Tariffs!$F$37)+('Large Power'!$F9*Tariffs!$G$37)+('Large Power'!$G9*Tariffs!$I$36)+($G9*Tariffs!J$37))*(1+Tariffs!$H$36)</f>
        <v>18855.978264083609</v>
      </c>
      <c r="J9" s="200">
        <f>(Tariffs!$E$37+($G9*Tariffs!$F$37)+('Large Power'!$F9*Tariffs!$G$37)+('Large Power'!$G9*Tariffs!$I$36)+($G9*Tariffs!K$37))*(1+Tariffs!$H$36)</f>
        <v>19311.841416083611</v>
      </c>
      <c r="K9" s="200">
        <f>(Tariffs!$E$37+($G9*Tariffs!$F$37)+('Large Power'!$F9*Tariffs!$G$37)+('Large Power'!$G9*Tariffs!$I$36)+($G9*Tariffs!L$37))*(1+Tariffs!$H$36)</f>
        <v>19325.320062164377</v>
      </c>
      <c r="L9" s="200"/>
      <c r="M9" s="200">
        <f t="shared" si="2"/>
        <v>421.8012618365392</v>
      </c>
      <c r="N9" s="200">
        <f t="shared" si="3"/>
        <v>877.66441383654092</v>
      </c>
      <c r="O9" s="200">
        <f t="shared" si="4"/>
        <v>891.14305991730726</v>
      </c>
      <c r="P9" s="200">
        <f t="shared" si="5"/>
        <v>2190.6087355903874</v>
      </c>
      <c r="Q9" s="200"/>
      <c r="R9" s="112">
        <f t="shared" si="6"/>
        <v>2.2881480512263908E-2</v>
      </c>
      <c r="S9" s="112">
        <f t="shared" si="7"/>
        <v>4.7610718597828061E-2</v>
      </c>
      <c r="T9" s="112">
        <f t="shared" si="8"/>
        <v>4.8341895589300243E-2</v>
      </c>
      <c r="U9" s="201">
        <f t="shared" si="9"/>
        <v>0.11883409469939221</v>
      </c>
      <c r="V9" s="66"/>
    </row>
    <row r="10" spans="2:22" x14ac:dyDescent="0.3">
      <c r="B10" s="66"/>
      <c r="C10" s="138" t="s">
        <v>127</v>
      </c>
      <c r="D10" s="140">
        <v>13</v>
      </c>
      <c r="E10" s="139">
        <v>9.6296296296296297E-2</v>
      </c>
      <c r="F10" s="140">
        <v>184.46153846153845</v>
      </c>
      <c r="G10" s="141">
        <v>29854.692307692309</v>
      </c>
      <c r="H10" s="200">
        <f>(Tariffs!$E$37+($G10*Tariffs!$F$37)+('Large Power'!$F10*Tariffs!$G$37)+('Large Power'!$G10*Tariffs!$I$36))*(1+Tariffs!$H$36)</f>
        <v>27029.751604924535</v>
      </c>
      <c r="I10" s="200">
        <f>(Tariffs!$E$37+($G10*Tariffs!$F$37)+('Large Power'!$F10*Tariffs!$G$37)+('Large Power'!$G10*Tariffs!$I$36)+($G10*Tariffs!J$37))*(1+Tariffs!$H$36)</f>
        <v>27839.907194568765</v>
      </c>
      <c r="J10" s="200">
        <f>(Tariffs!$E$37+($G10*Tariffs!$F$37)+('Large Power'!$F10*Tariffs!$G$37)+('Large Power'!$G10*Tariffs!$I$36)+($G10*Tariffs!K$37))*(1+Tariffs!$H$36)</f>
        <v>28715.485610568765</v>
      </c>
      <c r="K10" s="200">
        <f>(Tariffs!$E$37+($G10*Tariffs!$F$37)+('Large Power'!$F10*Tariffs!$G$37)+('Large Power'!$G10*Tariffs!$I$36)+($G10*Tariffs!L$37))*(1+Tariffs!$H$36)</f>
        <v>28741.374107003379</v>
      </c>
      <c r="L10" s="200"/>
      <c r="M10" s="200">
        <f t="shared" si="2"/>
        <v>810.15558964422962</v>
      </c>
      <c r="N10" s="200">
        <f t="shared" si="3"/>
        <v>1685.7340056442299</v>
      </c>
      <c r="O10" s="200">
        <f t="shared" si="4"/>
        <v>1711.6225020788443</v>
      </c>
      <c r="P10" s="200">
        <f t="shared" si="5"/>
        <v>4207.5120973673038</v>
      </c>
      <c r="Q10" s="200"/>
      <c r="R10" s="112">
        <f t="shared" si="6"/>
        <v>2.9972735283909424E-2</v>
      </c>
      <c r="S10" s="112">
        <f t="shared" si="7"/>
        <v>6.236587114389569E-2</v>
      </c>
      <c r="T10" s="112">
        <f t="shared" si="8"/>
        <v>6.3323648958986567E-2</v>
      </c>
      <c r="U10" s="201">
        <f t="shared" si="9"/>
        <v>0.15566225538679168</v>
      </c>
      <c r="V10" s="66"/>
    </row>
    <row r="11" spans="2:22" x14ac:dyDescent="0.3">
      <c r="B11" s="66"/>
      <c r="C11" s="138" t="s">
        <v>128</v>
      </c>
      <c r="D11" s="140">
        <v>23</v>
      </c>
      <c r="E11" s="139">
        <v>0.17037037037037037</v>
      </c>
      <c r="F11" s="140">
        <v>268.13043478260869</v>
      </c>
      <c r="G11" s="141">
        <v>68847.304347826081</v>
      </c>
      <c r="H11" s="200">
        <f>(Tariffs!$E$37+($G11*Tariffs!$F$37)+('Large Power'!$F11*Tariffs!$G$37)+('Large Power'!$G11*Tariffs!$I$36))*(1+Tariffs!$H$36)</f>
        <v>55775.888593101379</v>
      </c>
      <c r="I11" s="200">
        <f>(Tariffs!$E$37+($G11*Tariffs!$F$37)+('Large Power'!$F11*Tariffs!$G$37)+('Large Power'!$G11*Tariffs!$I$36)+($G11*Tariffs!J$37))*(1+Tariffs!$H$36)</f>
        <v>57644.172073449212</v>
      </c>
      <c r="J11" s="200">
        <f>(Tariffs!$E$37+($G11*Tariffs!$F$37)+('Large Power'!$F11*Tariffs!$G$37)+('Large Power'!$G11*Tariffs!$I$36)+($G11*Tariffs!K$37))*(1+Tariffs!$H$36)</f>
        <v>59663.325815362252</v>
      </c>
      <c r="K11" s="200">
        <f>(Tariffs!$E$37+($G11*Tariffs!$F$37)+('Large Power'!$F11*Tariffs!$G$37)+('Large Power'!$G11*Tariffs!$I$36)+($G11*Tariffs!L$37))*(1+Tariffs!$H$36)</f>
        <v>59723.026755327468</v>
      </c>
      <c r="L11" s="200"/>
      <c r="M11" s="200">
        <f t="shared" si="2"/>
        <v>1868.2834803478327</v>
      </c>
      <c r="N11" s="200">
        <f t="shared" si="3"/>
        <v>3887.4372222608727</v>
      </c>
      <c r="O11" s="200">
        <f t="shared" si="4"/>
        <v>3947.1381622260888</v>
      </c>
      <c r="P11" s="200">
        <f t="shared" si="5"/>
        <v>9702.8588648347941</v>
      </c>
      <c r="Q11" s="200"/>
      <c r="R11" s="112">
        <f t="shared" si="6"/>
        <v>3.3496256670645153E-2</v>
      </c>
      <c r="S11" s="112">
        <f t="shared" si="7"/>
        <v>6.9697450283950912E-2</v>
      </c>
      <c r="T11" s="112">
        <f t="shared" si="8"/>
        <v>7.0767822114344403E-2</v>
      </c>
      <c r="U11" s="201">
        <f t="shared" si="9"/>
        <v>0.17396152906894047</v>
      </c>
      <c r="V11" s="66"/>
    </row>
    <row r="12" spans="2:22" x14ac:dyDescent="0.3">
      <c r="B12" s="66"/>
      <c r="C12" s="138" t="s">
        <v>129</v>
      </c>
      <c r="D12" s="140">
        <v>35</v>
      </c>
      <c r="E12" s="139">
        <v>0.25925925925925924</v>
      </c>
      <c r="F12" s="140">
        <v>363.77142857142854</v>
      </c>
      <c r="G12" s="141">
        <v>127510.6</v>
      </c>
      <c r="H12" s="200">
        <f>(Tariffs!$E$37+($G12*Tariffs!$F$37)+('Large Power'!$F12*Tariffs!$G$37)+('Large Power'!$G12*Tariffs!$I$36))*(1+Tariffs!$H$36)</f>
        <v>98041.301882062296</v>
      </c>
      <c r="I12" s="200">
        <f>(Tariffs!$E$37+($G12*Tariffs!$F$37)+('Large Power'!$F12*Tariffs!$G$37)+('Large Power'!$G12*Tariffs!$I$36)+($G12*Tariffs!J$37))*(1+Tariffs!$H$36)</f>
        <v>101501.5092177873</v>
      </c>
      <c r="J12" s="200">
        <f>(Tariffs!$E$37+($G12*Tariffs!$F$37)+('Large Power'!$F12*Tariffs!$G$37)+('Large Power'!$G12*Tariffs!$I$36)+($G12*Tariffs!K$37))*(1+Tariffs!$H$36)</f>
        <v>105241.14009458729</v>
      </c>
      <c r="K12" s="200">
        <f>(Tariffs!$E$37+($G12*Tariffs!$F$37)+('Large Power'!$F12*Tariffs!$G$37)+('Large Power'!$G12*Tariffs!$I$36)+($G12*Tariffs!L$37))*(1+Tariffs!$H$36)</f>
        <v>105351.7109113773</v>
      </c>
      <c r="L12" s="200"/>
      <c r="M12" s="200">
        <f t="shared" si="2"/>
        <v>3460.2073357250047</v>
      </c>
      <c r="N12" s="200">
        <f t="shared" si="3"/>
        <v>7199.8382125249918</v>
      </c>
      <c r="O12" s="200">
        <f t="shared" si="4"/>
        <v>7310.4090293150075</v>
      </c>
      <c r="P12" s="200">
        <f t="shared" si="5"/>
        <v>17970.454577565004</v>
      </c>
      <c r="Q12" s="200"/>
      <c r="R12" s="112">
        <f t="shared" si="6"/>
        <v>3.5293363809952405E-2</v>
      </c>
      <c r="S12" s="112">
        <f t="shared" si="7"/>
        <v>7.343678709189283E-2</v>
      </c>
      <c r="T12" s="112">
        <f t="shared" si="8"/>
        <v>7.4564585424508056E-2</v>
      </c>
      <c r="U12" s="201">
        <f t="shared" si="9"/>
        <v>0.18329473632635329</v>
      </c>
      <c r="V12" s="66"/>
    </row>
    <row r="13" spans="2:22" x14ac:dyDescent="0.3">
      <c r="B13" s="66"/>
      <c r="C13" s="138" t="s">
        <v>130</v>
      </c>
      <c r="D13" s="140">
        <v>27</v>
      </c>
      <c r="E13" s="139">
        <v>0.2</v>
      </c>
      <c r="F13" s="140">
        <v>452.88888888888891</v>
      </c>
      <c r="G13" s="141">
        <v>201810.48148148149</v>
      </c>
      <c r="H13" s="200">
        <f>(Tariffs!$E$37+($G13*Tariffs!$F$37)+('Large Power'!$F13*Tariffs!$G$37)+('Large Power'!$G13*Tariffs!$I$36))*(1+Tariffs!$H$36)</f>
        <v>150532.30327683469</v>
      </c>
      <c r="I13" s="200">
        <f>(Tariffs!$E$37+($G13*Tariffs!$F$37)+('Large Power'!$F13*Tariffs!$G$37)+('Large Power'!$G13*Tariffs!$I$36)+($G13*Tariffs!J$37))*(1+Tariffs!$H$36)</f>
        <v>156008.75863386711</v>
      </c>
      <c r="J13" s="200">
        <f>(Tariffs!$E$37+($G13*Tariffs!$F$37)+('Large Power'!$F13*Tariffs!$G$37)+('Large Power'!$G13*Tariffs!$I$36)+($G13*Tariffs!K$37))*(1+Tariffs!$H$36)</f>
        <v>161927.45643475596</v>
      </c>
      <c r="K13" s="200">
        <f>(Tariffs!$E$37+($G13*Tariffs!$F$37)+('Large Power'!$F13*Tariffs!$G$37)+('Large Power'!$G13*Tariffs!$I$36)+($G13*Tariffs!L$37))*(1+Tariffs!$H$36)</f>
        <v>162102.45639377265</v>
      </c>
      <c r="L13" s="200"/>
      <c r="M13" s="200">
        <f t="shared" si="2"/>
        <v>5476.4553570324206</v>
      </c>
      <c r="N13" s="200">
        <f t="shared" si="3"/>
        <v>11395.153157921275</v>
      </c>
      <c r="O13" s="200">
        <f t="shared" si="4"/>
        <v>11570.15311693796</v>
      </c>
      <c r="P13" s="200">
        <f t="shared" si="5"/>
        <v>28441.761631891655</v>
      </c>
      <c r="Q13" s="200"/>
      <c r="R13" s="112">
        <f t="shared" si="6"/>
        <v>3.638059896659529E-2</v>
      </c>
      <c r="S13" s="112">
        <f t="shared" si="7"/>
        <v>7.5699055351363009E-2</v>
      </c>
      <c r="T13" s="112">
        <f t="shared" si="8"/>
        <v>7.6861596249278241E-2</v>
      </c>
      <c r="U13" s="201">
        <f t="shared" si="9"/>
        <v>0.18894125056723654</v>
      </c>
      <c r="V13" s="66"/>
    </row>
    <row r="14" spans="2:22" x14ac:dyDescent="0.3">
      <c r="B14" s="66"/>
      <c r="C14" s="138" t="s">
        <v>131</v>
      </c>
      <c r="D14" s="140">
        <v>8</v>
      </c>
      <c r="E14" s="139">
        <v>5.9259259259259262E-2</v>
      </c>
      <c r="F14" s="140">
        <v>666.5</v>
      </c>
      <c r="G14" s="141">
        <v>361357.125</v>
      </c>
      <c r="H14" s="200">
        <f>(Tariffs!$E$37+($G14*Tariffs!$F$37)+('Large Power'!$F14*Tariffs!$G$37)+('Large Power'!$G14*Tariffs!$I$36))*(1+Tariffs!$H$36)</f>
        <v>263970.75301333424</v>
      </c>
      <c r="I14" s="200">
        <f>(Tariffs!$E$37+($G14*Tariffs!$F$37)+('Large Power'!$F14*Tariffs!$G$37)+('Large Power'!$G14*Tariffs!$I$36)+($G14*Tariffs!J$37))*(1+Tariffs!$H$36)</f>
        <v>273776.7658055374</v>
      </c>
      <c r="J14" s="200">
        <f>(Tariffs!$E$37+($G14*Tariffs!$F$37)+('Large Power'!$F14*Tariffs!$G$37)+('Large Power'!$G14*Tariffs!$I$36)+($G14*Tariffs!K$37))*(1+Tariffs!$H$36)</f>
        <v>284374.64756753738</v>
      </c>
      <c r="K14" s="200">
        <f>(Tariffs!$E$37+($G14*Tariffs!$F$37)+('Large Power'!$F14*Tariffs!$G$37)+('Large Power'!$G14*Tariffs!$I$36)+($G14*Tariffs!L$37))*(1+Tariffs!$H$36)</f>
        <v>284687.99839848117</v>
      </c>
      <c r="L14" s="200"/>
      <c r="M14" s="200">
        <f t="shared" si="2"/>
        <v>9806.0127922031679</v>
      </c>
      <c r="N14" s="200">
        <f t="shared" si="3"/>
        <v>20403.894554203143</v>
      </c>
      <c r="O14" s="200">
        <f t="shared" si="4"/>
        <v>20717.245385146933</v>
      </c>
      <c r="P14" s="200">
        <f t="shared" si="5"/>
        <v>50927.152731553244</v>
      </c>
      <c r="Q14" s="200"/>
      <c r="R14" s="112">
        <f t="shared" si="6"/>
        <v>3.7148103266227528E-2</v>
      </c>
      <c r="S14" s="112">
        <f t="shared" si="7"/>
        <v>7.7296042539881205E-2</v>
      </c>
      <c r="T14" s="112">
        <f t="shared" si="8"/>
        <v>7.8483109013597563E-2</v>
      </c>
      <c r="U14" s="201">
        <f t="shared" si="9"/>
        <v>0.1929272548197063</v>
      </c>
      <c r="V14" s="66"/>
    </row>
    <row r="15" spans="2:22" x14ac:dyDescent="0.3">
      <c r="B15" s="66"/>
      <c r="C15" s="138" t="s">
        <v>132</v>
      </c>
      <c r="D15" s="140">
        <v>4</v>
      </c>
      <c r="E15" s="139">
        <v>2.9629629629629631E-2</v>
      </c>
      <c r="F15" s="140">
        <v>149</v>
      </c>
      <c r="G15" s="141">
        <v>95099.75</v>
      </c>
      <c r="H15" s="200">
        <f>(Tariffs!$E$37+($G15*Tariffs!$F$37)+('Large Power'!$F15*Tariffs!$G$37)+('Large Power'!$G15*Tariffs!$I$36))*(1+Tariffs!$H$36)</f>
        <v>69429.179336312256</v>
      </c>
      <c r="I15" s="200">
        <f>(Tariffs!$E$37+($G15*Tariffs!$F$37)+('Large Power'!$F15*Tariffs!$G$37)+('Large Power'!$G15*Tariffs!$I$36)+($G15*Tariffs!J$37))*(1+Tariffs!$H$36)</f>
        <v>72009.865589656009</v>
      </c>
      <c r="J15" s="200">
        <f>(Tariffs!$E$37+($G15*Tariffs!$F$37)+('Large Power'!$F15*Tariffs!$G$37)+('Large Power'!$G15*Tariffs!$I$36)+($G15*Tariffs!K$37))*(1+Tariffs!$H$36)</f>
        <v>74798.951057656013</v>
      </c>
      <c r="K15" s="200">
        <f>(Tariffs!$E$37+($G15*Tariffs!$F$37)+('Large Power'!$F15*Tariffs!$G$37)+('Large Power'!$G15*Tariffs!$I$36)+($G15*Tariffs!L$37))*(1+Tariffs!$H$36)</f>
        <v>74881.416805868517</v>
      </c>
      <c r="L15" s="200"/>
      <c r="M15" s="200">
        <f t="shared" si="2"/>
        <v>2580.6862533437525</v>
      </c>
      <c r="N15" s="200">
        <f t="shared" si="3"/>
        <v>5369.7717213437572</v>
      </c>
      <c r="O15" s="200">
        <f t="shared" si="4"/>
        <v>5452.2374695562612</v>
      </c>
      <c r="P15" s="200">
        <f t="shared" si="5"/>
        <v>13402.695444243771</v>
      </c>
      <c r="Q15" s="200"/>
      <c r="R15" s="112">
        <f t="shared" si="6"/>
        <v>3.7170052678327181E-2</v>
      </c>
      <c r="S15" s="112">
        <f t="shared" si="7"/>
        <v>7.734171385395161E-2</v>
      </c>
      <c r="T15" s="112">
        <f t="shared" si="8"/>
        <v>7.8529481720442496E-2</v>
      </c>
      <c r="U15" s="201">
        <f t="shared" si="9"/>
        <v>0.19304124825272129</v>
      </c>
      <c r="V15" s="66"/>
    </row>
    <row r="16" spans="2:22" ht="15" thickBot="1" x14ac:dyDescent="0.35">
      <c r="B16" s="66"/>
      <c r="C16" s="202" t="s">
        <v>133</v>
      </c>
      <c r="D16" s="203">
        <v>1</v>
      </c>
      <c r="E16" s="204">
        <v>7.4074074074074077E-3</v>
      </c>
      <c r="F16" s="203">
        <v>120</v>
      </c>
      <c r="G16" s="205">
        <v>84987</v>
      </c>
      <c r="H16" s="206">
        <f>(Tariffs!$E$37+($G16*Tariffs!$F$37)+('Large Power'!$F16*Tariffs!$G$37)+('Large Power'!$G16*Tariffs!$I$36))*(1+Tariffs!$H$36)</f>
        <v>61736.674782118731</v>
      </c>
      <c r="I16" s="206">
        <f>(Tariffs!$E$37+($G16*Tariffs!$F$37)+('Large Power'!$F16*Tariffs!$G$37)+('Large Power'!$G16*Tariffs!$I$36)+($G16*Tariffs!J$37))*(1+Tariffs!$H$36)</f>
        <v>64042.935130993734</v>
      </c>
      <c r="J16" s="206">
        <f>(Tariffs!$E$37+($G16*Tariffs!$F$37)+('Large Power'!$F16*Tariffs!$G$37)+('Large Power'!$G16*Tariffs!$I$36)+($G16*Tariffs!K$37))*(1+Tariffs!$H$36)</f>
        <v>66535.433866993728</v>
      </c>
      <c r="K16" s="206">
        <f>(Tariffs!$E$37+($G16*Tariffs!$F$37)+('Large Power'!$F16*Tariffs!$G$37)+('Large Power'!$G16*Tariffs!$I$36)+($G16*Tariffs!L$37))*(1+Tariffs!$H$36)</f>
        <v>66609.130344043733</v>
      </c>
      <c r="L16" s="206"/>
      <c r="M16" s="206">
        <f t="shared" si="2"/>
        <v>2306.2603488750028</v>
      </c>
      <c r="N16" s="206">
        <f t="shared" si="3"/>
        <v>4798.7590848749969</v>
      </c>
      <c r="O16" s="206">
        <f t="shared" si="4"/>
        <v>4872.4555619250023</v>
      </c>
      <c r="P16" s="206">
        <f t="shared" si="5"/>
        <v>11977.474995675002</v>
      </c>
      <c r="Q16" s="206"/>
      <c r="R16" s="207">
        <f t="shared" si="6"/>
        <v>3.7356406981980506E-2</v>
      </c>
      <c r="S16" s="207">
        <f t="shared" si="7"/>
        <v>7.7729471206714473E-2</v>
      </c>
      <c r="T16" s="207">
        <f t="shared" si="8"/>
        <v>7.8923194019128617E-2</v>
      </c>
      <c r="U16" s="208">
        <f t="shared" si="9"/>
        <v>0.1940090722078236</v>
      </c>
      <c r="V16" s="66"/>
    </row>
    <row r="17" spans="2:22" x14ac:dyDescent="0.3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</row>
    <row r="18" spans="2:22" x14ac:dyDescent="0.3"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</row>
  </sheetData>
  <mergeCells count="9">
    <mergeCell ref="I5:K5"/>
    <mergeCell ref="M5:P5"/>
    <mergeCell ref="R5:U5"/>
    <mergeCell ref="M4:U4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684CD-EA4F-4B1D-8AE5-A8C2DB79D7EA}">
  <dimension ref="B2:V29"/>
  <sheetViews>
    <sheetView workbookViewId="0">
      <selection activeCell="L6" sqref="L6"/>
    </sheetView>
  </sheetViews>
  <sheetFormatPr defaultRowHeight="14.4" outlineLevelCol="1" x14ac:dyDescent="0.3"/>
  <cols>
    <col min="1" max="2" width="8.88671875" style="71"/>
    <col min="3" max="3" width="12.77734375" style="71" customWidth="1"/>
    <col min="4" max="4" width="12.21875" style="71" customWidth="1"/>
    <col min="5" max="5" width="12" style="71" customWidth="1"/>
    <col min="6" max="6" width="15.5546875" style="71" customWidth="1"/>
    <col min="7" max="7" width="15" style="71" customWidth="1"/>
    <col min="8" max="10" width="12.109375" style="71" hidden="1" customWidth="1" outlineLevel="1"/>
    <col min="11" max="11" width="3.6640625" style="71" hidden="1" customWidth="1" outlineLevel="1"/>
    <col min="12" max="12" width="11.109375" style="71" bestFit="1" customWidth="1" collapsed="1"/>
    <col min="13" max="14" width="11.109375" style="71" customWidth="1"/>
    <col min="15" max="15" width="11.44140625" style="71" bestFit="1" customWidth="1"/>
    <col min="16" max="16" width="3.6640625" style="71" customWidth="1"/>
    <col min="17" max="19" width="8.88671875" style="71"/>
    <col min="20" max="20" width="11.6640625" style="71" customWidth="1"/>
    <col min="21" max="22" width="12.109375" style="71" bestFit="1" customWidth="1"/>
    <col min="23" max="23" width="11.109375" style="71" bestFit="1" customWidth="1"/>
    <col min="24" max="16384" width="8.88671875" style="71"/>
  </cols>
  <sheetData>
    <row r="2" spans="2:22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2:22" x14ac:dyDescent="0.3">
      <c r="B3" s="66"/>
      <c r="C3" s="69" t="str">
        <f>"Time of Use Tariff Bill Impacts"&amp;"-"&amp;'CETR Rate'!I3</f>
        <v>Time of Use Tariff Bill Impacts-Battery Energy Storage Systems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2:22" ht="14.4" customHeight="1" x14ac:dyDescent="0.3">
      <c r="B4" s="66"/>
      <c r="C4" s="69"/>
      <c r="D4" s="111"/>
      <c r="E4" s="111"/>
      <c r="F4" s="150"/>
      <c r="G4" s="111"/>
      <c r="H4" s="273" t="s">
        <v>113</v>
      </c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4"/>
      <c r="U4" s="66"/>
      <c r="V4" s="66"/>
    </row>
    <row r="5" spans="2:22" ht="14.4" customHeight="1" x14ac:dyDescent="0.3">
      <c r="B5" s="66"/>
      <c r="C5" s="156"/>
      <c r="D5" s="111"/>
      <c r="E5" s="111"/>
      <c r="F5" s="150"/>
      <c r="G5" s="111"/>
      <c r="H5" s="271" t="s">
        <v>95</v>
      </c>
      <c r="I5" s="271"/>
      <c r="J5" s="271"/>
      <c r="K5" s="211"/>
      <c r="L5" s="271" t="s">
        <v>141</v>
      </c>
      <c r="M5" s="271"/>
      <c r="N5" s="271"/>
      <c r="O5" s="271"/>
      <c r="P5" s="211"/>
      <c r="Q5" s="271" t="s">
        <v>142</v>
      </c>
      <c r="R5" s="271"/>
      <c r="S5" s="271"/>
      <c r="T5" s="272"/>
      <c r="U5" s="66"/>
      <c r="V5" s="66"/>
    </row>
    <row r="6" spans="2:22" ht="46.2" customHeight="1" x14ac:dyDescent="0.3">
      <c r="B6" s="66"/>
      <c r="C6" s="154" t="s">
        <v>143</v>
      </c>
      <c r="D6" s="155" t="s">
        <v>144</v>
      </c>
      <c r="E6" s="155" t="s">
        <v>145</v>
      </c>
      <c r="F6" s="155" t="s">
        <v>138</v>
      </c>
      <c r="G6" s="155" t="s">
        <v>140</v>
      </c>
      <c r="H6" s="211">
        <v>2024</v>
      </c>
      <c r="I6" s="211">
        <v>2025</v>
      </c>
      <c r="J6" s="211">
        <v>2026</v>
      </c>
      <c r="K6" s="211"/>
      <c r="L6" s="211">
        <v>2024</v>
      </c>
      <c r="M6" s="211">
        <v>2025</v>
      </c>
      <c r="N6" s="211">
        <v>2026</v>
      </c>
      <c r="O6" s="211" t="s">
        <v>157</v>
      </c>
      <c r="P6" s="211"/>
      <c r="Q6" s="211">
        <v>2024</v>
      </c>
      <c r="R6" s="211">
        <v>2025</v>
      </c>
      <c r="S6" s="211">
        <v>2026</v>
      </c>
      <c r="T6" s="212" t="s">
        <v>157</v>
      </c>
      <c r="U6" s="66"/>
      <c r="V6" s="66"/>
    </row>
    <row r="7" spans="2:22" x14ac:dyDescent="0.3">
      <c r="B7" s="66"/>
      <c r="C7" s="151">
        <v>195.41218130311614</v>
      </c>
      <c r="D7" s="143">
        <v>61966</v>
      </c>
      <c r="E7" s="143">
        <v>75995</v>
      </c>
      <c r="F7" s="143">
        <v>706</v>
      </c>
      <c r="G7" s="75">
        <f>(Tariffs!$E$41+(Tariffs!$E$43*'Time of Use'!$D7)+(Tariffs!$E$44*'Time of Use'!$E7)+(Tariffs!$E$46*'Time of Use'!$F7)+((Tariffs!$E$48*Tariffs!$I$36)*'Time of Use'!$D7)+((Tariffs!$E$49*Tariffs!$I$36)*'Time of Use'!$E7))*(1+Tariffs!$H$36)</f>
        <v>110608.66604985629</v>
      </c>
      <c r="H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Use'!$E7)*Tariffs!E$52))*(1+Tariffs!$H$36)</f>
        <v>114352.46197148129</v>
      </c>
      <c r="I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Use'!$E7)*Tariffs!F$52))*(1+Tariffs!$H$36)</f>
        <v>118398.58217948129</v>
      </c>
      <c r="J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Use'!$E7)*Tariffs!G$52))*(1+Tariffs!$H$36)</f>
        <v>118518.21506063129</v>
      </c>
      <c r="K7" s="75"/>
      <c r="L7" s="75">
        <f>H7-$G7</f>
        <v>3743.7959216250019</v>
      </c>
      <c r="M7" s="75">
        <f t="shared" ref="M7:N7" si="0">I7-$G7</f>
        <v>7789.9161296250095</v>
      </c>
      <c r="N7" s="75">
        <f t="shared" si="0"/>
        <v>7909.5490107750084</v>
      </c>
      <c r="O7" s="214">
        <f>SUM(L7:N7)</f>
        <v>19443.26106202502</v>
      </c>
      <c r="P7" s="75"/>
      <c r="Q7" s="112">
        <f>H7/$G7-1</f>
        <v>3.3847220614138029E-2</v>
      </c>
      <c r="R7" s="112">
        <f t="shared" ref="R7:S7" si="1">I7/$G7-1</f>
        <v>7.0427719706100955E-2</v>
      </c>
      <c r="S7" s="112">
        <f t="shared" si="1"/>
        <v>7.1509306578291243E-2</v>
      </c>
      <c r="T7" s="180">
        <f>SUM(Q7:S7)</f>
        <v>0.17578424689853023</v>
      </c>
      <c r="U7" s="66"/>
      <c r="V7" s="66"/>
    </row>
    <row r="8" spans="2:22" x14ac:dyDescent="0.3">
      <c r="B8" s="66"/>
      <c r="C8" s="151">
        <v>244.05903398926654</v>
      </c>
      <c r="D8" s="143">
        <v>43142</v>
      </c>
      <c r="E8" s="143">
        <v>93287</v>
      </c>
      <c r="F8" s="143">
        <v>559</v>
      </c>
      <c r="G8" s="75">
        <f>(Tariffs!$E$41+(Tariffs!$E$43*'Time of Use'!$D8)+(Tariffs!$E$44*'Time of Use'!$E8)+(Tariffs!$E$46*'Time of Use'!$F8)+((Tariffs!$E$48*Tariffs!$I$36)*'Time of Use'!$D8)+((Tariffs!$E$49*Tariffs!$I$36)*'Time of Use'!$E8))*(1+Tariffs!$H$36)</f>
        <v>101172.93998631478</v>
      </c>
      <c r="H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Use'!$E8)*Tariffs!E$52))*(1+Tariffs!$H$36)</f>
        <v>104875.1625984398</v>
      </c>
      <c r="I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Use'!$E8)*Tariffs!F$52))*(1+Tariffs!$H$36)</f>
        <v>108876.35231043979</v>
      </c>
      <c r="J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Use'!$E8)*Tariffs!G$52))*(1+Tariffs!$H$36)</f>
        <v>108994.65671778978</v>
      </c>
      <c r="K8" s="75"/>
      <c r="L8" s="75">
        <f t="shared" ref="L8:L22" si="2">H8-$G8</f>
        <v>3702.2226121250133</v>
      </c>
      <c r="M8" s="75">
        <f t="shared" ref="M8:M22" si="3">I8-$G8</f>
        <v>7703.4123241250054</v>
      </c>
      <c r="N8" s="75">
        <f t="shared" ref="N8:N22" si="4">J8-$G8</f>
        <v>7821.7167314749968</v>
      </c>
      <c r="O8" s="214">
        <f t="shared" ref="O8:O22" si="5">SUM(L8:N8)</f>
        <v>19227.351667725015</v>
      </c>
      <c r="P8" s="75"/>
      <c r="Q8" s="112">
        <f t="shared" ref="Q8:Q26" si="6">H8/$G8-1</f>
        <v>3.6593012050710305E-2</v>
      </c>
      <c r="R8" s="112">
        <f t="shared" ref="R8:R26" si="7">I8/$G8-1</f>
        <v>7.614103460042787E-2</v>
      </c>
      <c r="S8" s="112">
        <f t="shared" ref="S8:S26" si="8">J8/$G8-1</f>
        <v>7.7310363151777528E-2</v>
      </c>
      <c r="T8" s="180">
        <f t="shared" ref="T8:T26" si="9">SUM(Q8:S8)</f>
        <v>0.1900444098029157</v>
      </c>
      <c r="U8" s="66"/>
      <c r="V8" s="66"/>
    </row>
    <row r="9" spans="2:22" x14ac:dyDescent="0.3">
      <c r="B9" s="66"/>
      <c r="C9" s="151">
        <v>308.73634945397816</v>
      </c>
      <c r="D9" s="143">
        <v>71595</v>
      </c>
      <c r="E9" s="143">
        <v>126305</v>
      </c>
      <c r="F9" s="143">
        <v>641</v>
      </c>
      <c r="G9" s="75">
        <f>(Tariffs!$E$41+(Tariffs!$E$43*'Time of Use'!$D9)+(Tariffs!$E$44*'Time of Use'!$E9)+(Tariffs!$E$46*'Time of Use'!$F9)+((Tariffs!$E$48*Tariffs!$I$36)*'Time of Use'!$D9)+((Tariffs!$E$49*Tariffs!$I$36)*'Time of Use'!$E9))*(1+Tariffs!$H$36)</f>
        <v>145625.53516186064</v>
      </c>
      <c r="H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Use'!$E9)*Tariffs!E$52))*(1+Tariffs!$H$36)</f>
        <v>150995.87324936065</v>
      </c>
      <c r="I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Use'!$E9)*Tariffs!F$52))*(1+Tariffs!$H$36)</f>
        <v>156799.88444936066</v>
      </c>
      <c r="J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Use'!$E9)*Tariffs!G$52))*(1+Tariffs!$H$36)</f>
        <v>156971.49343436063</v>
      </c>
      <c r="K9" s="75"/>
      <c r="L9" s="75">
        <f t="shared" si="2"/>
        <v>5370.3380875000148</v>
      </c>
      <c r="M9" s="75">
        <f t="shared" si="3"/>
        <v>11174.349287500023</v>
      </c>
      <c r="N9" s="75">
        <f t="shared" si="4"/>
        <v>11345.958272499993</v>
      </c>
      <c r="O9" s="214">
        <f t="shared" si="5"/>
        <v>27890.64564750003</v>
      </c>
      <c r="P9" s="75"/>
      <c r="Q9" s="112">
        <f t="shared" si="6"/>
        <v>3.6877722588493533E-2</v>
      </c>
      <c r="R9" s="112">
        <f t="shared" si="7"/>
        <v>7.6733447022734769E-2</v>
      </c>
      <c r="S9" s="112">
        <f t="shared" si="8"/>
        <v>7.7911873490381423E-2</v>
      </c>
      <c r="T9" s="180">
        <f t="shared" si="9"/>
        <v>0.19152304310160972</v>
      </c>
      <c r="U9" s="66"/>
      <c r="V9" s="66"/>
    </row>
    <row r="10" spans="2:22" x14ac:dyDescent="0.3">
      <c r="B10" s="66"/>
      <c r="C10" s="151">
        <v>365.29595015576325</v>
      </c>
      <c r="D10" s="143">
        <v>40924</v>
      </c>
      <c r="E10" s="143">
        <v>76336</v>
      </c>
      <c r="F10" s="143">
        <v>321</v>
      </c>
      <c r="G10" s="75">
        <f>(Tariffs!$E$41+(Tariffs!$E$43*'Time of Use'!$D10)+(Tariffs!$E$44*'Time of Use'!$E10)+(Tariffs!$E$46*'Time of Use'!$F10)+((Tariffs!$E$48*Tariffs!$I$36)*'Time of Use'!$D10)+((Tariffs!$E$49*Tariffs!$I$36)*'Time of Use'!$E10))*(1+Tariffs!$H$36)</f>
        <v>84751.122946383897</v>
      </c>
      <c r="H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Use'!$E10)*Tariffs!E$52))*(1+Tariffs!$H$36)</f>
        <v>87933.163593883903</v>
      </c>
      <c r="I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Use'!$E10)*Tariffs!F$52))*(1+Tariffs!$H$36)</f>
        <v>91372.164873883899</v>
      </c>
      <c r="J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Use'!$E10)*Tariffs!G$52))*(1+Tariffs!$H$36)</f>
        <v>91473.84688288391</v>
      </c>
      <c r="K10" s="75"/>
      <c r="L10" s="75">
        <f t="shared" si="2"/>
        <v>3182.0406475000054</v>
      </c>
      <c r="M10" s="75">
        <f t="shared" si="3"/>
        <v>6621.0419275000022</v>
      </c>
      <c r="N10" s="75">
        <f t="shared" si="4"/>
        <v>6722.7239365000132</v>
      </c>
      <c r="O10" s="214">
        <f t="shared" si="5"/>
        <v>16525.806511500021</v>
      </c>
      <c r="P10" s="75"/>
      <c r="Q10" s="112">
        <f t="shared" si="6"/>
        <v>3.7545704845858507E-2</v>
      </c>
      <c r="R10" s="112">
        <f t="shared" si="7"/>
        <v>7.8123353382452132E-2</v>
      </c>
      <c r="S10" s="112">
        <f t="shared" si="8"/>
        <v>7.9323125202164002E-2</v>
      </c>
      <c r="T10" s="180">
        <f t="shared" si="9"/>
        <v>0.19499218343047464</v>
      </c>
      <c r="U10" s="66"/>
      <c r="V10" s="66"/>
    </row>
    <row r="11" spans="2:22" x14ac:dyDescent="0.3">
      <c r="B11" s="66"/>
      <c r="C11" s="151">
        <v>380.75342465753425</v>
      </c>
      <c r="D11" s="143">
        <v>8793</v>
      </c>
      <c r="E11" s="143">
        <v>19002</v>
      </c>
      <c r="F11" s="143">
        <v>73</v>
      </c>
      <c r="G11" s="75">
        <f>(Tariffs!$E$41+(Tariffs!$E$43*'Time of Use'!$D11)+(Tariffs!$E$44*'Time of Use'!$E11)+(Tariffs!$E$46*'Time of Use'!$F11)+((Tariffs!$E$48*Tariffs!$I$36)*'Time of Use'!$D11)+((Tariffs!$E$49*Tariffs!$I$36)*'Time of Use'!$E11))*(1+Tariffs!$H$36)</f>
        <v>20029.177336304725</v>
      </c>
      <c r="H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Use'!$E11)*Tariffs!E$52))*(1+Tariffs!$H$36)</f>
        <v>20783.439828179726</v>
      </c>
      <c r="I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Use'!$E11)*Tariffs!F$52))*(1+Tariffs!$H$36)</f>
        <v>21598.611588179727</v>
      </c>
      <c r="J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Use'!$E11)*Tariffs!G$52))*(1+Tariffs!$H$36)</f>
        <v>21622.714022429725</v>
      </c>
      <c r="K11" s="75"/>
      <c r="L11" s="75">
        <f t="shared" si="2"/>
        <v>754.26249187500071</v>
      </c>
      <c r="M11" s="75">
        <f t="shared" si="3"/>
        <v>1569.4342518750018</v>
      </c>
      <c r="N11" s="75">
        <f t="shared" si="4"/>
        <v>1593.5366861250004</v>
      </c>
      <c r="O11" s="214">
        <f t="shared" si="5"/>
        <v>3917.2334298750029</v>
      </c>
      <c r="P11" s="75"/>
      <c r="Q11" s="112">
        <f t="shared" si="6"/>
        <v>3.7658186315412401E-2</v>
      </c>
      <c r="R11" s="112">
        <f t="shared" si="7"/>
        <v>7.8357399583769194E-2</v>
      </c>
      <c r="S11" s="112">
        <f t="shared" si="8"/>
        <v>7.9560765745309459E-2</v>
      </c>
      <c r="T11" s="180">
        <f t="shared" si="9"/>
        <v>0.19557635164449105</v>
      </c>
      <c r="U11" s="66"/>
      <c r="V11" s="66"/>
    </row>
    <row r="12" spans="2:22" x14ac:dyDescent="0.3">
      <c r="B12" s="66"/>
      <c r="C12" s="151">
        <v>434.0128205128205</v>
      </c>
      <c r="D12" s="143">
        <v>22284</v>
      </c>
      <c r="E12" s="143">
        <v>45422</v>
      </c>
      <c r="F12" s="143">
        <v>156</v>
      </c>
      <c r="G12" s="75">
        <f>(Tariffs!$E$41+(Tariffs!$E$43*'Time of Use'!$D12)+(Tariffs!$E$44*'Time of Use'!$E12)+(Tariffs!$E$46*'Time of Use'!$F12)+((Tariffs!$E$48*Tariffs!$I$36)*'Time of Use'!$D12)+((Tariffs!$E$49*Tariffs!$I$36)*'Time of Use'!$E12))*(1+Tariffs!$H$36)</f>
        <v>48072.804455736448</v>
      </c>
      <c r="H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Use'!$E12)*Tariffs!E$52))*(1+Tariffs!$H$36)</f>
        <v>49910.116787986444</v>
      </c>
      <c r="I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Use'!$E12)*Tariffs!F$52))*(1+Tariffs!$H$36)</f>
        <v>51895.798355986451</v>
      </c>
      <c r="J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Use'!$E12)*Tariffs!G$52))*(1+Tariffs!$H$36)</f>
        <v>51954.509613886446</v>
      </c>
      <c r="K12" s="75"/>
      <c r="L12" s="75">
        <f t="shared" si="2"/>
        <v>1837.312332249996</v>
      </c>
      <c r="M12" s="75">
        <f t="shared" si="3"/>
        <v>3822.9939002500032</v>
      </c>
      <c r="N12" s="75">
        <f t="shared" si="4"/>
        <v>3881.7051581499982</v>
      </c>
      <c r="O12" s="214">
        <f t="shared" si="5"/>
        <v>9542.0113906499973</v>
      </c>
      <c r="P12" s="75"/>
      <c r="Q12" s="112">
        <f t="shared" si="6"/>
        <v>3.8219370661882746E-2</v>
      </c>
      <c r="R12" s="112">
        <f t="shared" si="7"/>
        <v>7.9525085826229747E-2</v>
      </c>
      <c r="S12" s="112">
        <f t="shared" si="8"/>
        <v>8.0746384615944855E-2</v>
      </c>
      <c r="T12" s="180">
        <f t="shared" si="9"/>
        <v>0.19849084110405735</v>
      </c>
      <c r="U12" s="66"/>
      <c r="V12" s="66"/>
    </row>
    <row r="13" spans="2:22" x14ac:dyDescent="0.3">
      <c r="B13" s="66"/>
      <c r="C13" s="151">
        <v>470.43421052631578</v>
      </c>
      <c r="D13" s="143">
        <v>21329</v>
      </c>
      <c r="E13" s="143">
        <v>50177</v>
      </c>
      <c r="F13" s="143">
        <v>152</v>
      </c>
      <c r="G13" s="75">
        <f>(Tariffs!$E$41+(Tariffs!$E$43*'Time of Use'!$D13)+(Tariffs!$E$44*'Time of Use'!$E13)+(Tariffs!$E$46*'Time of Use'!$F13)+((Tariffs!$E$48*Tariffs!$I$36)*'Time of Use'!$D13)+((Tariffs!$E$49*Tariffs!$I$36)*'Time of Use'!$E13))*(1+Tariffs!$H$36)</f>
        <v>49840.616391360752</v>
      </c>
      <c r="H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Use'!$E13)*Tariffs!E$52))*(1+Tariffs!$H$36)</f>
        <v>51781.047898610748</v>
      </c>
      <c r="I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Use'!$E13)*Tariffs!F$52))*(1+Tariffs!$H$36)</f>
        <v>53878.175866610749</v>
      </c>
      <c r="J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Use'!$E13)*Tariffs!G$52))*(1+Tariffs!$H$36)</f>
        <v>53940.182294510749</v>
      </c>
      <c r="K13" s="75"/>
      <c r="L13" s="75">
        <f t="shared" si="2"/>
        <v>1940.4315072499958</v>
      </c>
      <c r="M13" s="75">
        <f t="shared" si="3"/>
        <v>4037.5594752499965</v>
      </c>
      <c r="N13" s="75">
        <f t="shared" si="4"/>
        <v>4099.5659031499963</v>
      </c>
      <c r="O13" s="214">
        <f t="shared" si="5"/>
        <v>10077.556885649989</v>
      </c>
      <c r="P13" s="75"/>
      <c r="Q13" s="112">
        <f t="shared" si="6"/>
        <v>3.8932734940781089E-2</v>
      </c>
      <c r="R13" s="112">
        <f t="shared" si="7"/>
        <v>8.1009420981997593E-2</v>
      </c>
      <c r="S13" s="112">
        <f t="shared" si="8"/>
        <v>8.2253515304850922E-2</v>
      </c>
      <c r="T13" s="180">
        <f t="shared" si="9"/>
        <v>0.2021956712276296</v>
      </c>
      <c r="U13" s="66"/>
      <c r="V13" s="66"/>
    </row>
    <row r="14" spans="2:22" x14ac:dyDescent="0.3">
      <c r="B14" s="66"/>
      <c r="C14" s="151">
        <v>497.28629032258067</v>
      </c>
      <c r="D14" s="143">
        <v>40262</v>
      </c>
      <c r="E14" s="143">
        <v>83065</v>
      </c>
      <c r="F14" s="143">
        <v>248</v>
      </c>
      <c r="G14" s="75">
        <f>(Tariffs!$E$41+(Tariffs!$E$43*'Time of Use'!$D14)+(Tariffs!$E$44*'Time of Use'!$E14)+(Tariffs!$E$46*'Time of Use'!$F14)+((Tariffs!$E$48*Tariffs!$I$36)*'Time of Use'!$D14)+((Tariffs!$E$49*Tariffs!$I$36)*'Time of Use'!$E14))*(1+Tariffs!$H$36)</f>
        <v>86415.302693335892</v>
      </c>
      <c r="H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Use'!$E14)*Tariffs!E$52))*(1+Tariffs!$H$36)</f>
        <v>89761.981244710885</v>
      </c>
      <c r="I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Use'!$E14)*Tariffs!F$52))*(1+Tariffs!$H$36)</f>
        <v>93378.915500710893</v>
      </c>
      <c r="J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Use'!$E14)*Tariffs!G$52))*(1+Tariffs!$H$36)</f>
        <v>93485.858508760895</v>
      </c>
      <c r="K14" s="75"/>
      <c r="L14" s="75">
        <f t="shared" si="2"/>
        <v>3346.6785513749928</v>
      </c>
      <c r="M14" s="75">
        <f t="shared" si="3"/>
        <v>6963.6128073750006</v>
      </c>
      <c r="N14" s="75">
        <f t="shared" si="4"/>
        <v>7070.5558154250029</v>
      </c>
      <c r="O14" s="214">
        <f t="shared" si="5"/>
        <v>17380.847174174996</v>
      </c>
      <c r="P14" s="75"/>
      <c r="Q14" s="112">
        <f t="shared" si="6"/>
        <v>3.8727846192374349E-2</v>
      </c>
      <c r="R14" s="112">
        <f t="shared" si="7"/>
        <v>8.0583098020114985E-2</v>
      </c>
      <c r="S14" s="112">
        <f t="shared" si="8"/>
        <v>8.182064512944498E-2</v>
      </c>
      <c r="T14" s="180">
        <f t="shared" si="9"/>
        <v>0.20113158934193431</v>
      </c>
      <c r="U14" s="66"/>
      <c r="V14" s="66"/>
    </row>
    <row r="15" spans="2:22" x14ac:dyDescent="0.3">
      <c r="B15" s="66"/>
      <c r="C15" s="151">
        <v>524.93687707641197</v>
      </c>
      <c r="D15" s="143">
        <v>101139</v>
      </c>
      <c r="E15" s="143">
        <v>214873</v>
      </c>
      <c r="F15" s="143">
        <v>602</v>
      </c>
      <c r="G15" s="75">
        <f>(Tariffs!$E$41+(Tariffs!$E$43*'Time of Use'!$D15)+(Tariffs!$E$44*'Time of Use'!$E15)+(Tariffs!$E$46*'Time of Use'!$F15)+((Tariffs!$E$48*Tariffs!$I$36)*'Time of Use'!$D15)+((Tariffs!$E$49*Tariffs!$I$36)*'Time of Use'!$E15))*(1+Tariffs!$H$36)</f>
        <v>219582.00834913983</v>
      </c>
      <c r="H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Use'!$E15)*Tariffs!E$52))*(1+Tariffs!$H$36)</f>
        <v>228157.50748863982</v>
      </c>
      <c r="I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Use'!$E15)*Tariffs!F$52))*(1+Tariffs!$H$36)</f>
        <v>237425.5074246398</v>
      </c>
      <c r="J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Use'!$E15)*Tariffs!G$52))*(1+Tariffs!$H$36)</f>
        <v>237699.53723043983</v>
      </c>
      <c r="K15" s="75"/>
      <c r="L15" s="75">
        <f t="shared" si="2"/>
        <v>8575.4991394999961</v>
      </c>
      <c r="M15" s="75">
        <f t="shared" si="3"/>
        <v>17843.499075499974</v>
      </c>
      <c r="N15" s="75">
        <f t="shared" si="4"/>
        <v>18117.528881300008</v>
      </c>
      <c r="O15" s="214">
        <f t="shared" si="5"/>
        <v>44536.527096299978</v>
      </c>
      <c r="P15" s="75"/>
      <c r="Q15" s="112">
        <f t="shared" si="6"/>
        <v>3.9053742171192729E-2</v>
      </c>
      <c r="R15" s="112">
        <f t="shared" si="7"/>
        <v>8.1261207189290641E-2</v>
      </c>
      <c r="S15" s="112">
        <f t="shared" si="8"/>
        <v>8.2509168294393032E-2</v>
      </c>
      <c r="T15" s="180">
        <f t="shared" si="9"/>
        <v>0.2028241176548764</v>
      </c>
      <c r="U15" s="66"/>
      <c r="V15" s="66"/>
    </row>
    <row r="16" spans="2:22" x14ac:dyDescent="0.3">
      <c r="B16" s="66"/>
      <c r="C16" s="151">
        <v>538.9</v>
      </c>
      <c r="D16" s="143">
        <v>18646</v>
      </c>
      <c r="E16" s="143">
        <v>40633</v>
      </c>
      <c r="F16" s="143">
        <v>110</v>
      </c>
      <c r="G16" s="75">
        <f>(Tariffs!$E$41+(Tariffs!$E$43*'Time of Use'!$D16)+(Tariffs!$E$44*'Time of Use'!$E16)+(Tariffs!$E$46*'Time of Use'!$F16)+((Tariffs!$E$48*Tariffs!$I$36)*'Time of Use'!$D16)+((Tariffs!$E$49*Tariffs!$I$36)*'Time of Use'!$E16))*(1+Tariffs!$H$36)</f>
        <v>41319.973393243024</v>
      </c>
      <c r="H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Use'!$E16)*Tariffs!E$52))*(1+Tariffs!$H$36)</f>
        <v>42928.605386618023</v>
      </c>
      <c r="I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Use'!$E16)*Tariffs!F$52))*(1+Tariffs!$H$36)</f>
        <v>44667.139898618028</v>
      </c>
      <c r="J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Use'!$E16)*Tariffs!G$52))*(1+Tariffs!$H$36)</f>
        <v>44718.543683468022</v>
      </c>
      <c r="K16" s="75"/>
      <c r="L16" s="75">
        <f t="shared" si="2"/>
        <v>1608.6319933749983</v>
      </c>
      <c r="M16" s="75">
        <f t="shared" si="3"/>
        <v>3347.1665053750039</v>
      </c>
      <c r="N16" s="75">
        <f t="shared" si="4"/>
        <v>3398.5702902249977</v>
      </c>
      <c r="O16" s="214">
        <f t="shared" si="5"/>
        <v>8354.3687889749999</v>
      </c>
      <c r="P16" s="75"/>
      <c r="Q16" s="112">
        <f t="shared" si="6"/>
        <v>3.8931099448337392E-2</v>
      </c>
      <c r="R16" s="112">
        <f t="shared" si="7"/>
        <v>8.1006017925518758E-2</v>
      </c>
      <c r="S16" s="112">
        <f t="shared" si="8"/>
        <v>8.2250059986262114E-2</v>
      </c>
      <c r="T16" s="180">
        <f t="shared" si="9"/>
        <v>0.20218717736011826</v>
      </c>
      <c r="U16" s="66"/>
      <c r="V16" s="66"/>
    </row>
    <row r="17" spans="2:22" x14ac:dyDescent="0.3">
      <c r="B17" s="66"/>
      <c r="C17" s="151">
        <v>549.03546099290782</v>
      </c>
      <c r="D17" s="143">
        <v>24463</v>
      </c>
      <c r="E17" s="143">
        <v>52951</v>
      </c>
      <c r="F17" s="143">
        <v>141</v>
      </c>
      <c r="G17" s="75">
        <f>(Tariffs!$E$41+(Tariffs!$E$43*'Time of Use'!$D17)+(Tariffs!$E$44*'Time of Use'!$E17)+(Tariffs!$E$46*'Time of Use'!$F17)+((Tariffs!$E$48*Tariffs!$I$36)*'Time of Use'!$D17)+((Tariffs!$E$49*Tariffs!$I$36)*'Time of Use'!$E17))*(1+Tariffs!$H$36)</f>
        <v>53829.647264778054</v>
      </c>
      <c r="H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Use'!$E17)*Tariffs!E$52))*(1+Tariffs!$H$36)</f>
        <v>55930.401952528053</v>
      </c>
      <c r="I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Use'!$E17)*Tariffs!F$52))*(1+Tariffs!$H$36)</f>
        <v>58200.799744528056</v>
      </c>
      <c r="J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Use'!$E17)*Tariffs!G$52))*(1+Tariffs!$H$36)</f>
        <v>58267.929294628055</v>
      </c>
      <c r="K17" s="75"/>
      <c r="L17" s="75">
        <f t="shared" si="2"/>
        <v>2100.754687749999</v>
      </c>
      <c r="M17" s="75">
        <f t="shared" si="3"/>
        <v>4371.1524797500024</v>
      </c>
      <c r="N17" s="75">
        <f t="shared" si="4"/>
        <v>4438.282029850001</v>
      </c>
      <c r="O17" s="214">
        <f t="shared" si="5"/>
        <v>10910.189197350002</v>
      </c>
      <c r="P17" s="75"/>
      <c r="Q17" s="112">
        <f t="shared" si="6"/>
        <v>3.9025979074631012E-2</v>
      </c>
      <c r="R17" s="112">
        <f t="shared" si="7"/>
        <v>8.1203439031452662E-2</v>
      </c>
      <c r="S17" s="112">
        <f t="shared" si="8"/>
        <v>8.2450512967675804E-2</v>
      </c>
      <c r="T17" s="180">
        <f t="shared" si="9"/>
        <v>0.20267993107375948</v>
      </c>
      <c r="U17" s="66"/>
      <c r="V17" s="66"/>
    </row>
    <row r="18" spans="2:22" x14ac:dyDescent="0.3">
      <c r="B18" s="66"/>
      <c r="C18" s="151">
        <v>571.96818181818185</v>
      </c>
      <c r="D18" s="143">
        <v>39744</v>
      </c>
      <c r="E18" s="143">
        <v>86089</v>
      </c>
      <c r="F18" s="143">
        <v>220</v>
      </c>
      <c r="G18" s="75">
        <f>(Tariffs!$E$41+(Tariffs!$E$43*'Time of Use'!$D18)+(Tariffs!$E$44*'Time of Use'!$E18)+(Tariffs!$E$46*'Time of Use'!$F18)+((Tariffs!$E$48*Tariffs!$I$36)*'Time of Use'!$D18)+((Tariffs!$E$49*Tariffs!$I$36)*'Time of Use'!$E18))*(1+Tariffs!$H$36)</f>
        <v>87077.194671944031</v>
      </c>
      <c r="H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Use'!$E18)*Tariffs!E$52))*(1+Tariffs!$H$36)</f>
        <v>90491.87760556904</v>
      </c>
      <c r="I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Use'!$E18)*Tariffs!F$52))*(1+Tariffs!$H$36)</f>
        <v>94182.307829569036</v>
      </c>
      <c r="J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Use'!$E18)*Tariffs!G$52))*(1+Tariffs!$H$36)</f>
        <v>94291.42391551903</v>
      </c>
      <c r="K18" s="75"/>
      <c r="L18" s="75">
        <f t="shared" si="2"/>
        <v>3414.6829336250084</v>
      </c>
      <c r="M18" s="75">
        <f t="shared" si="3"/>
        <v>7105.1131576250045</v>
      </c>
      <c r="N18" s="75">
        <f t="shared" si="4"/>
        <v>7214.2292435749987</v>
      </c>
      <c r="O18" s="214">
        <f t="shared" si="5"/>
        <v>17734.025334825012</v>
      </c>
      <c r="P18" s="75"/>
      <c r="Q18" s="112">
        <f t="shared" si="6"/>
        <v>3.9214434347472293E-2</v>
      </c>
      <c r="R18" s="112">
        <f t="shared" si="7"/>
        <v>8.1595567983016926E-2</v>
      </c>
      <c r="S18" s="112">
        <f t="shared" si="8"/>
        <v>8.2848664001567762E-2</v>
      </c>
      <c r="T18" s="180">
        <f t="shared" si="9"/>
        <v>0.20365866633205698</v>
      </c>
      <c r="U18" s="66"/>
      <c r="V18" s="66"/>
    </row>
    <row r="19" spans="2:22" x14ac:dyDescent="0.3">
      <c r="B19" s="66"/>
      <c r="C19" s="151">
        <v>572.14966887417222</v>
      </c>
      <c r="D19" s="143">
        <v>137049</v>
      </c>
      <c r="E19" s="143">
        <v>294924</v>
      </c>
      <c r="F19" s="143">
        <v>755</v>
      </c>
      <c r="G19" s="75">
        <f>(Tariffs!$E$41+(Tariffs!$E$43*'Time of Use'!$D19)+(Tariffs!$E$44*'Time of Use'!$E19)+(Tariffs!$E$46*'Time of Use'!$F19)+((Tariffs!$E$48*Tariffs!$I$36)*'Time of Use'!$D19)+((Tariffs!$E$49*Tariffs!$I$36)*'Time of Use'!$E19))*(1+Tariffs!$H$36)</f>
        <v>298242.8948959519</v>
      </c>
      <c r="H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Use'!$E19)*Tariffs!E$52))*(1+Tariffs!$H$36)</f>
        <v>309965.18420707691</v>
      </c>
      <c r="I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Use'!$E19)*Tariffs!F$52))*(1+Tariffs!$H$36)</f>
        <v>322634.08835107693</v>
      </c>
      <c r="J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Use'!$E19)*Tariffs!G$52))*(1+Tariffs!$H$36)</f>
        <v>323008.67373802688</v>
      </c>
      <c r="K19" s="75"/>
      <c r="L19" s="75">
        <f t="shared" si="2"/>
        <v>11722.289311125001</v>
      </c>
      <c r="M19" s="75">
        <f t="shared" si="3"/>
        <v>24391.193455125031</v>
      </c>
      <c r="N19" s="75">
        <f t="shared" si="4"/>
        <v>24765.778842074971</v>
      </c>
      <c r="O19" s="214">
        <f t="shared" si="5"/>
        <v>60879.261608325003</v>
      </c>
      <c r="P19" s="75"/>
      <c r="Q19" s="112">
        <f t="shared" si="6"/>
        <v>3.9304504857406775E-2</v>
      </c>
      <c r="R19" s="112">
        <f t="shared" si="7"/>
        <v>8.1782982503688428E-2</v>
      </c>
      <c r="S19" s="112">
        <f t="shared" si="8"/>
        <v>8.3038956722556678E-2</v>
      </c>
      <c r="T19" s="180">
        <f t="shared" si="9"/>
        <v>0.20412644408365188</v>
      </c>
      <c r="U19" s="66"/>
      <c r="V19" s="66"/>
    </row>
    <row r="20" spans="2:22" x14ac:dyDescent="0.3">
      <c r="B20" s="66"/>
      <c r="C20" s="151">
        <v>601.71428571428567</v>
      </c>
      <c r="D20" s="143">
        <v>27706</v>
      </c>
      <c r="E20" s="143">
        <v>60746</v>
      </c>
      <c r="F20" s="143">
        <v>147</v>
      </c>
      <c r="G20" s="75">
        <f>(Tariffs!$E$41+(Tariffs!$E$43*'Time of Use'!$D20)+(Tariffs!$E$44*'Time of Use'!$E20)+(Tariffs!$E$46*'Time of Use'!$F20)+((Tariffs!$E$48*Tariffs!$I$36)*'Time of Use'!$D20)+((Tariffs!$E$49*Tariffs!$I$36)*'Time of Use'!$E20))*(1+Tariffs!$H$36)</f>
        <v>61085.149851968155</v>
      </c>
      <c r="H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Use'!$E20)*Tariffs!E$52))*(1+Tariffs!$H$36)</f>
        <v>63485.438606468153</v>
      </c>
      <c r="I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Use'!$E20)*Tariffs!F$52))*(1+Tariffs!$H$36)</f>
        <v>66079.558862468155</v>
      </c>
      <c r="J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Use'!$E20)*Tariffs!G$52))*(1+Tariffs!$H$36)</f>
        <v>66156.260014268148</v>
      </c>
      <c r="K20" s="75"/>
      <c r="L20" s="75">
        <f t="shared" si="2"/>
        <v>2400.2887544999976</v>
      </c>
      <c r="M20" s="75">
        <f t="shared" si="3"/>
        <v>4994.4090104999996</v>
      </c>
      <c r="N20" s="75">
        <f t="shared" si="4"/>
        <v>5071.1101622999922</v>
      </c>
      <c r="O20" s="214">
        <f t="shared" si="5"/>
        <v>12465.807927299989</v>
      </c>
      <c r="P20" s="75"/>
      <c r="Q20" s="112">
        <f t="shared" si="6"/>
        <v>3.9294145308913508E-2</v>
      </c>
      <c r="R20" s="112">
        <f t="shared" si="7"/>
        <v>8.1761426837836826E-2</v>
      </c>
      <c r="S20" s="112">
        <f t="shared" si="8"/>
        <v>8.3017070017658234E-2</v>
      </c>
      <c r="T20" s="180">
        <f t="shared" si="9"/>
        <v>0.20407264216440857</v>
      </c>
      <c r="U20" s="66"/>
      <c r="V20" s="66"/>
    </row>
    <row r="21" spans="2:22" x14ac:dyDescent="0.3">
      <c r="B21" s="66"/>
      <c r="C21" s="151">
        <v>620.68219633943431</v>
      </c>
      <c r="D21" s="143">
        <v>121035</v>
      </c>
      <c r="E21" s="143">
        <v>251995</v>
      </c>
      <c r="F21" s="143">
        <v>601</v>
      </c>
      <c r="G21" s="75">
        <f>(Tariffs!$E$41+(Tariffs!$E$43*'Time of Use'!$D21)+(Tariffs!$E$44*'Time of Use'!$E21)+(Tariffs!$E$46*'Time of Use'!$F21)+((Tariffs!$E$48*Tariffs!$I$36)*'Time of Use'!$D21)+((Tariffs!$E$49*Tariffs!$I$36)*'Time of Use'!$E21))*(1+Tariffs!$H$36)</f>
        <v>257297.68958894571</v>
      </c>
      <c r="H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Use'!$E21)*Tariffs!E$52))*(1+Tariffs!$H$36)</f>
        <v>267420.46481269569</v>
      </c>
      <c r="I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Use'!$E21)*Tariffs!F$52))*(1+Tariffs!$H$36)</f>
        <v>278360.68865269568</v>
      </c>
      <c r="J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Use'!$E21)*Tariffs!G$52))*(1+Tariffs!$H$36)</f>
        <v>278684.1616171957</v>
      </c>
      <c r="K21" s="75"/>
      <c r="L21" s="75">
        <f t="shared" si="2"/>
        <v>10122.775223749981</v>
      </c>
      <c r="M21" s="75">
        <f t="shared" si="3"/>
        <v>21062.999063749972</v>
      </c>
      <c r="N21" s="75">
        <f t="shared" si="4"/>
        <v>21386.472028249991</v>
      </c>
      <c r="O21" s="214">
        <f t="shared" si="5"/>
        <v>52572.246315749944</v>
      </c>
      <c r="P21" s="75"/>
      <c r="Q21" s="112">
        <f t="shared" si="6"/>
        <v>3.9342658847508316E-2</v>
      </c>
      <c r="R21" s="112">
        <f t="shared" si="7"/>
        <v>8.1862371548690804E-2</v>
      </c>
      <c r="S21" s="112">
        <f t="shared" si="8"/>
        <v>8.3119564977115257E-2</v>
      </c>
      <c r="T21" s="180">
        <f t="shared" si="9"/>
        <v>0.20432459537331438</v>
      </c>
      <c r="U21" s="66"/>
      <c r="V21" s="66"/>
    </row>
    <row r="22" spans="2:22" x14ac:dyDescent="0.3">
      <c r="B22" s="66"/>
      <c r="C22" s="151">
        <v>623.12658227848101</v>
      </c>
      <c r="D22" s="143">
        <v>15554</v>
      </c>
      <c r="E22" s="143">
        <v>33673</v>
      </c>
      <c r="F22" s="143">
        <v>79</v>
      </c>
      <c r="G22" s="75">
        <f>(Tariffs!$E$41+(Tariffs!$E$43*'Time of Use'!$D22)+(Tariffs!$E$44*'Time of Use'!$E22)+(Tariffs!$E$46*'Time of Use'!$F22)+((Tariffs!$E$48*Tariffs!$I$36)*'Time of Use'!$D22)+((Tariffs!$E$49*Tariffs!$I$36)*'Time of Use'!$E22))*(1+Tariffs!$H$36)</f>
        <v>34132.216168748659</v>
      </c>
      <c r="H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Use'!$E22)*Tariffs!E$52))*(1+Tariffs!$H$36)</f>
        <v>35468.070807623662</v>
      </c>
      <c r="I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Use'!$E22)*Tariffs!F$52))*(1+Tariffs!$H$36)</f>
        <v>36911.800263623663</v>
      </c>
      <c r="J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Use'!$E22)*Tariffs!G$52))*(1+Tariffs!$H$36)</f>
        <v>36954.487456673662</v>
      </c>
      <c r="K22" s="75"/>
      <c r="L22" s="75">
        <f t="shared" si="2"/>
        <v>1335.8546388750037</v>
      </c>
      <c r="M22" s="75">
        <f t="shared" si="3"/>
        <v>2779.5840948750047</v>
      </c>
      <c r="N22" s="75">
        <f t="shared" si="4"/>
        <v>2822.271287925003</v>
      </c>
      <c r="O22" s="214">
        <f t="shared" si="5"/>
        <v>6937.7100216750114</v>
      </c>
      <c r="P22" s="75"/>
      <c r="Q22" s="112">
        <f t="shared" si="6"/>
        <v>3.9137647326226377E-2</v>
      </c>
      <c r="R22" s="112">
        <f t="shared" si="7"/>
        <v>8.1435793126728884E-2</v>
      </c>
      <c r="S22" s="112">
        <f t="shared" si="8"/>
        <v>8.2686435418426241E-2</v>
      </c>
      <c r="T22" s="180">
        <f t="shared" si="9"/>
        <v>0.2032598758713815</v>
      </c>
      <c r="U22" s="66"/>
      <c r="V22" s="66"/>
    </row>
    <row r="23" spans="2:22" x14ac:dyDescent="0.3">
      <c r="B23" s="66"/>
      <c r="C23" s="151">
        <v>642.43309859154931</v>
      </c>
      <c r="D23" s="143">
        <v>81730</v>
      </c>
      <c r="E23" s="143">
        <v>100721</v>
      </c>
      <c r="F23" s="143">
        <v>284</v>
      </c>
      <c r="G23" s="75">
        <f>(Tariffs!$E$41+(Tariffs!$E$43*'Time of Use'!$D23)+(Tariffs!$E$44*'Time of Use'!$E23)+(Tariffs!$E$46*'Time of Use'!$F23)+((Tariffs!$E$48*Tariffs!$I$36)*'Time of Use'!$D23)+((Tariffs!$E$49*Tariffs!$I$36)*'Time of Use'!$E23))*(1+Tariffs!$H$36)</f>
        <v>132360.16801743174</v>
      </c>
      <c r="H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Use'!$E23)*Tariffs!E$52))*(1+Tariffs!$H$36)</f>
        <v>137311.27238530677</v>
      </c>
      <c r="I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Use'!$E23)*Tariffs!F$52))*(1+Tariffs!$H$36)</f>
        <v>142662.19531330676</v>
      </c>
      <c r="J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Use'!$E23)*Tariffs!G$52))*(1+Tariffs!$H$36)</f>
        <v>142820.40769795675</v>
      </c>
      <c r="K23" s="75"/>
      <c r="L23" s="75">
        <f t="shared" ref="L23:L26" si="10">H23-G23</f>
        <v>4951.1043678750284</v>
      </c>
      <c r="M23" s="75">
        <f t="shared" ref="M23:M26" si="11">I23-$G23</f>
        <v>10302.027295875014</v>
      </c>
      <c r="N23" s="75">
        <f t="shared" ref="N23:N26" si="12">J23-$G23</f>
        <v>10460.239680525003</v>
      </c>
      <c r="O23" s="214">
        <f t="shared" ref="O23:O26" si="13">SUM(L23:N23)</f>
        <v>25713.371344275045</v>
      </c>
      <c r="P23" s="75"/>
      <c r="Q23" s="112">
        <f t="shared" si="6"/>
        <v>3.7406301624087979E-2</v>
      </c>
      <c r="R23" s="112">
        <f t="shared" si="7"/>
        <v>7.7833289653411741E-2</v>
      </c>
      <c r="S23" s="112">
        <f t="shared" si="8"/>
        <v>7.9028606847547866E-2</v>
      </c>
      <c r="T23" s="180">
        <f t="shared" si="9"/>
        <v>0.19426819812504759</v>
      </c>
      <c r="U23" s="66"/>
      <c r="V23" s="66"/>
    </row>
    <row r="24" spans="2:22" x14ac:dyDescent="0.3">
      <c r="B24" s="66"/>
      <c r="C24" s="151">
        <v>659.83132530120486</v>
      </c>
      <c r="D24" s="143">
        <v>17417</v>
      </c>
      <c r="E24" s="143">
        <v>37349</v>
      </c>
      <c r="F24" s="143">
        <v>83</v>
      </c>
      <c r="G24" s="75">
        <f>(Tariffs!$E$41+(Tariffs!$E$43*'Time of Use'!$D24)+(Tariffs!$E$44*'Time of Use'!$E24)+(Tariffs!$E$46*'Time of Use'!$F24)+((Tariffs!$E$48*Tariffs!$I$36)*'Time of Use'!$D24)+((Tariffs!$E$49*Tariffs!$I$36)*'Time of Use'!$E24))*(1+Tariffs!$H$36)</f>
        <v>37862.47830522</v>
      </c>
      <c r="H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Use'!$E24)*Tariffs!E$52))*(1+Tariffs!$H$36)</f>
        <v>39348.642709969994</v>
      </c>
      <c r="I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Use'!$E24)*Tariffs!F$52))*(1+Tariffs!$H$36)</f>
        <v>40954.819957969994</v>
      </c>
      <c r="J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Use'!$E24)*Tariffs!G$52))*(1+Tariffs!$H$36)</f>
        <v>41002.310294870003</v>
      </c>
      <c r="K24" s="75"/>
      <c r="L24" s="75">
        <f t="shared" si="10"/>
        <v>1486.164404749994</v>
      </c>
      <c r="M24" s="75">
        <f t="shared" si="11"/>
        <v>3092.341652749994</v>
      </c>
      <c r="N24" s="75">
        <f t="shared" si="12"/>
        <v>3139.8319896500034</v>
      </c>
      <c r="O24" s="214">
        <f t="shared" si="13"/>
        <v>7718.3380471499913</v>
      </c>
      <c r="P24" s="75"/>
      <c r="Q24" s="112">
        <f t="shared" si="6"/>
        <v>3.9251640972088664E-2</v>
      </c>
      <c r="R24" s="112">
        <f t="shared" si="7"/>
        <v>8.167298579405613E-2</v>
      </c>
      <c r="S24" s="112">
        <f t="shared" si="8"/>
        <v>8.2927270749129089E-2</v>
      </c>
      <c r="T24" s="180">
        <f t="shared" si="9"/>
        <v>0.20385189751527388</v>
      </c>
      <c r="U24" s="66"/>
      <c r="V24" s="66"/>
    </row>
    <row r="25" spans="2:22" x14ac:dyDescent="0.3">
      <c r="B25" s="66"/>
      <c r="C25" s="151">
        <v>679.37458193979933</v>
      </c>
      <c r="D25" s="143">
        <v>63595</v>
      </c>
      <c r="E25" s="143">
        <v>139538</v>
      </c>
      <c r="F25" s="143">
        <v>299</v>
      </c>
      <c r="G25" s="75">
        <f>(Tariffs!$E$41+(Tariffs!$E$43*'Time of Use'!$D25)+(Tariffs!$E$44*'Time of Use'!$E25)+(Tariffs!$E$46*'Time of Use'!$F25)+((Tariffs!$E$48*Tariffs!$I$36)*'Time of Use'!$D25)+((Tariffs!$E$49*Tariffs!$I$36)*'Time of Use'!$E25))*(1+Tariffs!$H$36)</f>
        <v>139001.37267747286</v>
      </c>
      <c r="H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Use'!$E25)*Tariffs!E$52))*(1+Tariffs!$H$36)</f>
        <v>144513.71672359787</v>
      </c>
      <c r="I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Use'!$E25)*Tariffs!F$52))*(1+Tariffs!$H$36)</f>
        <v>150471.20134759785</v>
      </c>
      <c r="J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Use'!$E25)*Tariffs!G$52))*(1+Tariffs!$H$36)</f>
        <v>150647.34812854786</v>
      </c>
      <c r="K25" s="75"/>
      <c r="L25" s="75">
        <f t="shared" si="10"/>
        <v>5512.3440461250138</v>
      </c>
      <c r="M25" s="75">
        <f t="shared" si="11"/>
        <v>11469.828670124989</v>
      </c>
      <c r="N25" s="75">
        <f t="shared" si="12"/>
        <v>11645.975451075006</v>
      </c>
      <c r="O25" s="214">
        <f t="shared" si="13"/>
        <v>28628.148167325009</v>
      </c>
      <c r="P25" s="75"/>
      <c r="Q25" s="112">
        <f t="shared" si="6"/>
        <v>3.9656759785497986E-2</v>
      </c>
      <c r="R25" s="112">
        <f t="shared" si="7"/>
        <v>8.2515938146442869E-2</v>
      </c>
      <c r="S25" s="112">
        <f t="shared" si="8"/>
        <v>8.3783168660480412E-2</v>
      </c>
      <c r="T25" s="180">
        <f t="shared" si="9"/>
        <v>0.20595586659242127</v>
      </c>
      <c r="U25" s="66"/>
      <c r="V25" s="66"/>
    </row>
    <row r="26" spans="2:22" x14ac:dyDescent="0.3">
      <c r="B26" s="66"/>
      <c r="C26" s="152">
        <v>690.37534246575342</v>
      </c>
      <c r="D26" s="144">
        <v>80769</v>
      </c>
      <c r="E26" s="144">
        <v>171218</v>
      </c>
      <c r="F26" s="144">
        <v>365</v>
      </c>
      <c r="G26" s="153">
        <f>(Tariffs!$E$41+(Tariffs!$E$43*'Time of Use'!$D26)+(Tariffs!$E$44*'Time of Use'!$E26)+(Tariffs!$E$46*'Time of Use'!$F26)+((Tariffs!$E$48*Tariffs!$I$36)*'Time of Use'!$D26)+((Tariffs!$E$49*Tariffs!$I$36)*'Time of Use'!$E26))*(1+Tariffs!$H$36)</f>
        <v>172767.65988425733</v>
      </c>
      <c r="H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Use'!$E26)*Tariffs!E$52))*(1+Tariffs!$H$36)</f>
        <v>179605.73660813234</v>
      </c>
      <c r="I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Use'!$E26)*Tariffs!F$52))*(1+Tariffs!$H$36)</f>
        <v>186996.01134413233</v>
      </c>
      <c r="J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Use'!$E26)*Tariffs!G$52))*(1+Tariffs!$H$36)</f>
        <v>187214.52187118234</v>
      </c>
      <c r="K26" s="153"/>
      <c r="L26" s="153">
        <f t="shared" si="10"/>
        <v>6838.0767238750122</v>
      </c>
      <c r="M26" s="153">
        <f t="shared" si="11"/>
        <v>14228.351459875004</v>
      </c>
      <c r="N26" s="153">
        <f t="shared" si="12"/>
        <v>14446.861986925011</v>
      </c>
      <c r="O26" s="215">
        <f t="shared" si="13"/>
        <v>35513.290170675027</v>
      </c>
      <c r="P26" s="153"/>
      <c r="Q26" s="194">
        <f t="shared" si="6"/>
        <v>3.9579610723766701E-2</v>
      </c>
      <c r="R26" s="194">
        <f t="shared" si="7"/>
        <v>8.2355409973180471E-2</v>
      </c>
      <c r="S26" s="194">
        <f t="shared" si="8"/>
        <v>8.3620175191372326E-2</v>
      </c>
      <c r="T26" s="213">
        <f t="shared" si="9"/>
        <v>0.2055551958883195</v>
      </c>
      <c r="U26" s="66"/>
      <c r="V26" s="66"/>
    </row>
    <row r="27" spans="2:22" x14ac:dyDescent="0.3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</row>
    <row r="28" spans="2:22" x14ac:dyDescent="0.3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</row>
    <row r="29" spans="2:22" x14ac:dyDescent="0.3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</row>
  </sheetData>
  <sortState xmlns:xlrd2="http://schemas.microsoft.com/office/spreadsheetml/2017/richdata2" ref="C7:L26">
    <sortCondition ref="C7:C26"/>
  </sortState>
  <mergeCells count="4">
    <mergeCell ref="H5:J5"/>
    <mergeCell ref="L5:O5"/>
    <mergeCell ref="Q5:T5"/>
    <mergeCell ref="H4:T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CETR Rate</vt:lpstr>
      <vt:lpstr>Rate Summary</vt:lpstr>
      <vt:lpstr>Domestic Service</vt:lpstr>
      <vt:lpstr>Employee</vt:lpstr>
      <vt:lpstr>General Service</vt:lpstr>
      <vt:lpstr>Street Lights</vt:lpstr>
      <vt:lpstr>Secondary Voltage Power</vt:lpstr>
      <vt:lpstr>Large Power</vt:lpstr>
      <vt:lpstr>Time of Use</vt:lpstr>
      <vt:lpstr>Tariffs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2023-08-09T15:36:31Z</dcterms:created>
  <dcterms:modified xsi:type="dcterms:W3CDTF">2023-10-04T18:43:41Z</dcterms:modified>
</cp:coreProperties>
</file>